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dmin\Desktop\QCVN\15. R8 Kết cấu thép\Bản tính R8\"/>
    </mc:Choice>
  </mc:AlternateContent>
  <xr:revisionPtr revIDLastSave="0" documentId="8_{1787404C-036A-493C-AD2A-D263E07197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" sheetId="2" r:id="rId1"/>
    <sheet name="Sheet1" sheetId="4" r:id="rId2"/>
  </sheets>
  <definedNames>
    <definedName name="_xlnm.Print_Area" localSheetId="0">'C'!$A$1:$H$135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2" l="1"/>
  <c r="D69" i="2"/>
  <c r="B67" i="2"/>
  <c r="D111" i="2"/>
  <c r="E6" i="4" l="1"/>
  <c r="Z31" i="2"/>
  <c r="G6" i="4" s="1"/>
  <c r="AA31" i="2"/>
  <c r="H6" i="4" s="1"/>
  <c r="AB31" i="2"/>
  <c r="I6" i="4" s="1"/>
  <c r="AC31" i="2"/>
  <c r="J6" i="4" s="1"/>
  <c r="Y31" i="2"/>
  <c r="F6" i="4" s="1"/>
  <c r="J63" i="4" l="1"/>
  <c r="I63" i="4"/>
  <c r="H63" i="4"/>
  <c r="G63" i="4"/>
  <c r="F63" i="4"/>
  <c r="E63" i="4"/>
  <c r="J19" i="4"/>
  <c r="I19" i="4"/>
  <c r="H19" i="4"/>
  <c r="G19" i="4"/>
  <c r="F19" i="4"/>
  <c r="D7" i="4"/>
  <c r="K6" i="4"/>
  <c r="D6" i="4"/>
  <c r="D60" i="2"/>
  <c r="C48" i="2"/>
  <c r="D47" i="2"/>
  <c r="D48" i="2" s="1"/>
  <c r="C47" i="2"/>
  <c r="D45" i="2"/>
  <c r="P37" i="2"/>
  <c r="C24" i="2" s="1"/>
  <c r="C25" i="2" s="1"/>
  <c r="C34" i="2"/>
  <c r="C33" i="2"/>
  <c r="T32" i="2"/>
  <c r="S32" i="2"/>
  <c r="R32" i="2"/>
  <c r="Q32" i="2"/>
  <c r="P32" i="2"/>
  <c r="C32" i="2"/>
  <c r="C31" i="2"/>
  <c r="C30" i="2"/>
  <c r="AB29" i="2"/>
  <c r="AA29" i="2"/>
  <c r="Z29" i="2"/>
  <c r="Y29" i="2"/>
  <c r="F28" i="2"/>
  <c r="D28" i="2"/>
  <c r="F27" i="2"/>
  <c r="C22" i="2"/>
  <c r="C23" i="2" s="1"/>
  <c r="D63" i="4" l="1"/>
  <c r="J65" i="4"/>
  <c r="J77" i="4" s="1"/>
  <c r="L77" i="4" s="1"/>
  <c r="W40" i="2"/>
  <c r="C37" i="2" s="1"/>
  <c r="B52" i="2"/>
  <c r="J68" i="4"/>
  <c r="L68" i="4" s="1"/>
  <c r="J20" i="4"/>
  <c r="L20" i="4" s="1"/>
  <c r="J21" i="4"/>
  <c r="L21" i="4" s="1"/>
  <c r="J64" i="4"/>
  <c r="J76" i="4" s="1"/>
  <c r="L76" i="4" s="1"/>
  <c r="D8" i="4"/>
  <c r="W33" i="2" s="1"/>
  <c r="P40" i="2" s="1"/>
  <c r="D58" i="2" s="1"/>
  <c r="B69" i="2" s="1"/>
  <c r="B73" i="2" s="1"/>
  <c r="B76" i="2" s="1"/>
  <c r="W32" i="2"/>
  <c r="P33" i="2" s="1"/>
  <c r="C36" i="2" s="1"/>
  <c r="D19" i="4"/>
  <c r="B53" i="2"/>
  <c r="J22" i="4"/>
  <c r="J23" i="4"/>
  <c r="J66" i="4"/>
  <c r="J67" i="4"/>
  <c r="J24" i="4"/>
  <c r="E94" i="2" l="1"/>
  <c r="F94" i="2" s="1"/>
  <c r="J71" i="4"/>
  <c r="L71" i="4" s="1"/>
  <c r="J74" i="4"/>
  <c r="L74" i="4" s="1"/>
  <c r="J80" i="4"/>
  <c r="L80" i="4" s="1"/>
  <c r="J32" i="4"/>
  <c r="L65" i="4"/>
  <c r="J33" i="4"/>
  <c r="J27" i="4"/>
  <c r="J26" i="4"/>
  <c r="J69" i="4"/>
  <c r="J25" i="4"/>
  <c r="L64" i="4"/>
  <c r="D73" i="2"/>
  <c r="D76" i="2" s="1"/>
  <c r="Q76" i="2" s="1"/>
  <c r="D74" i="2"/>
  <c r="D77" i="2" s="1"/>
  <c r="Q77" i="2" s="1"/>
  <c r="J70" i="4"/>
  <c r="L70" i="4" s="1"/>
  <c r="B68" i="2"/>
  <c r="B74" i="2" s="1"/>
  <c r="B77" i="2" s="1"/>
  <c r="P77" i="2" s="1"/>
  <c r="J28" i="4"/>
  <c r="J34" i="4"/>
  <c r="L22" i="4"/>
  <c r="J30" i="4"/>
  <c r="L24" i="4"/>
  <c r="J36" i="4"/>
  <c r="L66" i="4"/>
  <c r="J72" i="4"/>
  <c r="L72" i="4" s="1"/>
  <c r="J78" i="4"/>
  <c r="L78" i="4" s="1"/>
  <c r="J29" i="4"/>
  <c r="L23" i="4"/>
  <c r="J35" i="4"/>
  <c r="L67" i="4"/>
  <c r="J79" i="4"/>
  <c r="L79" i="4" s="1"/>
  <c r="J73" i="4"/>
  <c r="L73" i="4" s="1"/>
  <c r="P76" i="2"/>
  <c r="D97" i="2" l="1"/>
  <c r="F112" i="2" s="1"/>
  <c r="L69" i="4"/>
  <c r="J37" i="4"/>
  <c r="J39" i="4" s="1"/>
  <c r="J46" i="4" s="1"/>
  <c r="L25" i="4"/>
  <c r="J31" i="4"/>
  <c r="J38" i="4" s="1"/>
  <c r="J41" i="4" s="1"/>
  <c r="J75" i="4"/>
  <c r="J82" i="4" s="1"/>
  <c r="J88" i="4" s="1"/>
  <c r="J81" i="4"/>
  <c r="J83" i="4" s="1"/>
  <c r="J93" i="4" s="1"/>
  <c r="J86" i="4" l="1"/>
  <c r="J91" i="4"/>
  <c r="J40" i="4"/>
  <c r="J50" i="4"/>
  <c r="J47" i="4"/>
  <c r="J49" i="4"/>
  <c r="J48" i="4"/>
  <c r="J44" i="4"/>
  <c r="L39" i="4"/>
  <c r="J90" i="4"/>
  <c r="J92" i="4"/>
  <c r="J94" i="4"/>
  <c r="L83" i="4"/>
  <c r="L82" i="4"/>
  <c r="J42" i="4"/>
  <c r="J84" i="4"/>
  <c r="L38" i="4"/>
  <c r="J85" i="4"/>
  <c r="J87" i="4"/>
  <c r="J43" i="4"/>
  <c r="J51" i="4" l="1"/>
  <c r="J53" i="4" s="1"/>
  <c r="L53" i="4" s="1"/>
  <c r="D12" i="4" s="1"/>
  <c r="W37" i="2" s="1"/>
  <c r="P35" i="2" s="1"/>
  <c r="J95" i="4"/>
  <c r="L98" i="4" s="1"/>
  <c r="J89" i="4"/>
  <c r="J96" i="4" s="1"/>
  <c r="L96" i="4" s="1"/>
  <c r="J45" i="4"/>
  <c r="J52" i="4" s="1"/>
  <c r="L52" i="4" s="1"/>
  <c r="D11" i="4" s="1"/>
  <c r="W36" i="2" s="1"/>
  <c r="P34" i="2" s="1"/>
  <c r="L51" i="4" l="1"/>
  <c r="D10" i="4" s="1"/>
  <c r="W35" i="2" s="1"/>
  <c r="C41" i="2" s="1"/>
  <c r="L54" i="4"/>
  <c r="D14" i="4" s="1"/>
  <c r="W39" i="2" s="1"/>
  <c r="C43" i="2" s="1"/>
  <c r="L95" i="4"/>
  <c r="J97" i="4"/>
  <c r="L97" i="4" s="1"/>
  <c r="J98" i="4"/>
  <c r="L89" i="4"/>
  <c r="J54" i="4"/>
  <c r="D13" i="4" s="1"/>
  <c r="W38" i="2" s="1"/>
  <c r="C42" i="2" s="1"/>
  <c r="L45" i="4"/>
  <c r="D9" i="4" s="1"/>
  <c r="W34" i="2" s="1"/>
  <c r="C40" i="2" s="1"/>
  <c r="C39" i="2"/>
  <c r="B82" i="2"/>
  <c r="D82" i="2" s="1"/>
  <c r="C38" i="2"/>
  <c r="B81" i="2"/>
  <c r="D81" i="2" l="1"/>
  <c r="D83" i="2" s="1"/>
  <c r="B83" i="2"/>
  <c r="P85" i="2" s="1"/>
  <c r="P84" i="2" s="1"/>
  <c r="P86" i="2" s="1"/>
  <c r="P87" i="2" s="1"/>
  <c r="B86" i="2" s="1"/>
  <c r="Q85" i="2" l="1"/>
  <c r="Q84" i="2" s="1"/>
  <c r="Q86" i="2" s="1"/>
  <c r="Q87" i="2" s="1"/>
  <c r="D86" i="2" s="1"/>
  <c r="B89" i="2" s="1"/>
  <c r="C95" i="2" s="1"/>
  <c r="C112" i="2" s="1"/>
  <c r="C9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P3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Lxg trong mp tính</t>
        </r>
      </text>
    </comment>
    <comment ref="P3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Lxg ngoài mp tính</t>
        </r>
      </text>
    </comment>
    <comment ref="P3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khoảng cách xg</t>
        </r>
      </text>
    </comment>
    <comment ref="P3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độ dốc mái</t>
        </r>
      </text>
    </comment>
    <comment ref="P40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tải bản thân xg</t>
        </r>
      </text>
    </comment>
    <comment ref="P41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hoạt tải treo xg</t>
        </r>
      </text>
    </comment>
  </commentList>
</comments>
</file>

<file path=xl/sharedStrings.xml><?xml version="1.0" encoding="utf-8"?>
<sst xmlns="http://schemas.openxmlformats.org/spreadsheetml/2006/main" count="693" uniqueCount="364">
  <si>
    <t>R 8</t>
  </si>
  <si>
    <t>fy =</t>
  </si>
  <si>
    <t>E =</t>
  </si>
  <si>
    <t>c</t>
  </si>
  <si>
    <t>t</t>
  </si>
  <si>
    <t>bending</t>
  </si>
  <si>
    <t>compression</t>
  </si>
  <si>
    <t>Class 1</t>
  </si>
  <si>
    <t>Class 2</t>
  </si>
  <si>
    <t>Class 3</t>
  </si>
  <si>
    <t xml:space="preserve">Class 4  </t>
  </si>
  <si>
    <t>G =</t>
  </si>
  <si>
    <t>Gm =</t>
  </si>
  <si>
    <t>W =</t>
  </si>
  <si>
    <t>KIỂM TRA CHỐNG CHÁY - KẾT CẤU THÉP</t>
  </si>
  <si>
    <t>CẤU KIỆN KẾT CẤU THÉP NGUYÊN BẢN KHÔNG BỌC</t>
  </si>
  <si>
    <t>TIÊU CHUẨN ÁP DỤNG: - QCVN 06:2022/BXD AN TOÀN CHÁY CHO NHÀ VÀ CÔNG TRÌNH</t>
  </si>
  <si>
    <t>- EUROCODE 3 - PART 1-2: STRUCTURAL FIRE DESIGN</t>
  </si>
  <si>
    <t>1. Thông số đầu vào</t>
  </si>
  <si>
    <t>- Loại cấu kiện:</t>
  </si>
  <si>
    <t>Xà gồ</t>
  </si>
  <si>
    <t>- Giới hạn chịu lửa:</t>
  </si>
  <si>
    <t>+ Diện tích mặt cắt:</t>
  </si>
  <si>
    <t>+ Cường độ giới hạn chảy:</t>
  </si>
  <si>
    <t>+ Mô đun đàn hồi:</t>
  </si>
  <si>
    <t>cm2</t>
  </si>
  <si>
    <t>A</t>
  </si>
  <si>
    <t>Wx</t>
  </si>
  <si>
    <t>Wy</t>
  </si>
  <si>
    <t>cm3</t>
  </si>
  <si>
    <t>m</t>
  </si>
  <si>
    <t>mm</t>
  </si>
  <si>
    <t>cm</t>
  </si>
  <si>
    <t>rad</t>
  </si>
  <si>
    <t>bước'</t>
  </si>
  <si>
    <t>- Số điểm giằng xà gồ:</t>
  </si>
  <si>
    <t>độ</t>
  </si>
  <si>
    <t>Mpa</t>
  </si>
  <si>
    <t>Bản bụng</t>
  </si>
  <si>
    <t>Bản cánh</t>
  </si>
  <si>
    <t>c/t</t>
  </si>
  <si>
    <t>α</t>
  </si>
  <si>
    <r>
      <t>ψ = σ</t>
    </r>
    <r>
      <rPr>
        <sz val="9.5"/>
        <color rgb="FF000000"/>
        <rFont val="Times New Roman"/>
        <family val="1"/>
        <charset val="163"/>
      </rPr>
      <t>2/σ1</t>
    </r>
  </si>
  <si>
    <t>Giới hạn c/t</t>
  </si>
  <si>
    <t>Loại tiết diện</t>
  </si>
  <si>
    <t>2. Tính toán xà gồ tình huống cháy</t>
  </si>
  <si>
    <t>- Thông số tải trọng</t>
  </si>
  <si>
    <t>+ Trọng lượng bản thân xà gồ:</t>
  </si>
  <si>
    <t>+ Tải trọng gió</t>
  </si>
  <si>
    <t>kN/m</t>
  </si>
  <si>
    <t>kN/m2</t>
  </si>
  <si>
    <t>kg/m2 roof load</t>
  </si>
  <si>
    <t>kg/m self load</t>
  </si>
  <si>
    <t>Tổ hợp</t>
  </si>
  <si>
    <t>Tĩnh tải và tải trọng gió</t>
  </si>
  <si>
    <t>a. Tải trọng</t>
  </si>
  <si>
    <r>
      <t>γ</t>
    </r>
    <r>
      <rPr>
        <sz val="7.5"/>
        <color rgb="FF000000"/>
        <rFont val="Calibri"/>
        <family val="2"/>
        <charset val="163"/>
      </rPr>
      <t xml:space="preserve">G </t>
    </r>
    <r>
      <rPr>
        <sz val="11"/>
        <color rgb="FF000000"/>
        <rFont val="Calibri"/>
        <family val="2"/>
        <charset val="163"/>
      </rPr>
      <t>=</t>
    </r>
  </si>
  <si>
    <r>
      <t>γ</t>
    </r>
    <r>
      <rPr>
        <sz val="7.5"/>
        <color rgb="FF000000"/>
        <rFont val="Times New Roman"/>
        <family val="1"/>
        <charset val="163"/>
      </rPr>
      <t xml:space="preserve">W </t>
    </r>
    <r>
      <rPr>
        <sz val="11"/>
        <color rgb="FF000000"/>
        <rFont val="Times New Roman"/>
        <family val="1"/>
        <charset val="163"/>
      </rPr>
      <t>=</t>
    </r>
  </si>
  <si>
    <t>&gt; </t>
  </si>
  <si>
    <t>b. Nội lực</t>
  </si>
  <si>
    <t>c. Hệ số huy động</t>
  </si>
  <si>
    <t>=&gt; Tiết diện loại 4</t>
  </si>
  <si>
    <r>
      <t>γ</t>
    </r>
    <r>
      <rPr>
        <sz val="7.5"/>
        <color rgb="FF000000"/>
        <rFont val="Calibri"/>
        <family val="2"/>
        <charset val="163"/>
      </rPr>
      <t xml:space="preserve">G </t>
    </r>
    <r>
      <rPr>
        <sz val="11"/>
        <color rgb="FF000000"/>
        <rFont val="Calibri"/>
        <family val="2"/>
        <charset val="163"/>
      </rPr>
      <t xml:space="preserve">=            </t>
    </r>
  </si>
  <si>
    <t>I = 10%</t>
  </si>
  <si>
    <r>
      <t xml:space="preserve">sin </t>
    </r>
    <r>
      <rPr>
        <sz val="11"/>
        <color rgb="FF000000"/>
        <rFont val="Calibri"/>
        <family val="2"/>
        <charset val="163"/>
      </rPr>
      <t>α</t>
    </r>
    <r>
      <rPr>
        <sz val="11"/>
        <color rgb="FF000000"/>
        <rFont val="Calibri"/>
        <family val="2"/>
        <charset val="204"/>
      </rPr>
      <t xml:space="preserve"> =</t>
    </r>
  </si>
  <si>
    <t>%</t>
  </si>
  <si>
    <r>
      <t xml:space="preserve">cos </t>
    </r>
    <r>
      <rPr>
        <sz val="11"/>
        <color rgb="FF000000"/>
        <rFont val="Calibri"/>
        <family val="2"/>
        <charset val="163"/>
      </rPr>
      <t>α</t>
    </r>
    <r>
      <rPr>
        <sz val="11"/>
        <color rgb="FF000000"/>
        <rFont val="Calibri"/>
        <family val="2"/>
        <charset val="204"/>
      </rPr>
      <t xml:space="preserve"> =</t>
    </r>
  </si>
  <si>
    <t xml:space="preserve">q (kN/m) =   </t>
  </si>
  <si>
    <t xml:space="preserve">qy (kN/m) =   </t>
  </si>
  <si>
    <r>
      <t xml:space="preserve">Ed,fi = </t>
    </r>
    <r>
      <rPr>
        <sz val="12"/>
        <color rgb="FF000000"/>
        <rFont val="Times New Roman"/>
        <family val="1"/>
        <charset val="163"/>
      </rPr>
      <t>η</t>
    </r>
    <r>
      <rPr>
        <sz val="12"/>
        <color rgb="FF000000"/>
        <rFont val="Calibri"/>
        <family val="2"/>
        <charset val="163"/>
      </rPr>
      <t>fi*Ed</t>
    </r>
  </si>
  <si>
    <t xml:space="preserve">My,Ed (kNm) = </t>
  </si>
  <si>
    <r>
      <t>η</t>
    </r>
    <r>
      <rPr>
        <sz val="12"/>
        <color rgb="FF000000"/>
        <rFont val="Calibri"/>
        <family val="2"/>
        <charset val="163"/>
      </rPr>
      <t xml:space="preserve">fi =            </t>
    </r>
  </si>
  <si>
    <t xml:space="preserve">My,fi =           </t>
  </si>
  <si>
    <t xml:space="preserve">d. Xác định nhiệt độ tới hạn:                             </t>
  </si>
  <si>
    <t>3. Xác định nhiệt độ tới hạn:</t>
  </si>
  <si>
    <t>- Nhiệt độ tới hạn:</t>
  </si>
  <si>
    <r>
      <t>θ</t>
    </r>
    <r>
      <rPr>
        <sz val="12"/>
        <color rgb="FF000000"/>
        <rFont val="Calibri"/>
        <family val="2"/>
        <charset val="163"/>
      </rPr>
      <t xml:space="preserve">cr  =          </t>
    </r>
  </si>
  <si>
    <r>
      <t>D</t>
    </r>
    <r>
      <rPr>
        <sz val="11"/>
        <color rgb="FF000000"/>
        <rFont val="Calibri"/>
        <family val="2"/>
        <charset val="163"/>
      </rPr>
      <t xml:space="preserve">t =                  </t>
    </r>
  </si>
  <si>
    <r>
      <t xml:space="preserve">=&gt;   </t>
    </r>
    <r>
      <rPr>
        <b/>
        <sz val="11"/>
        <color rgb="FF000000"/>
        <rFont val="Calibri"/>
        <family val="2"/>
        <charset val="163"/>
      </rPr>
      <t>Không cần biện pháp chống cháy</t>
    </r>
  </si>
  <si>
    <t>Wy (cm3) =</t>
  </si>
  <si>
    <t>&gt;= 8 min</t>
  </si>
  <si>
    <t>G350</t>
  </si>
  <si>
    <t>mm2</t>
  </si>
  <si>
    <t>G</t>
  </si>
  <si>
    <t>Kg/m</t>
  </si>
  <si>
    <t>Jx</t>
  </si>
  <si>
    <t>cm4</t>
  </si>
  <si>
    <t>Jy</t>
  </si>
  <si>
    <t xml:space="preserve">Wx </t>
  </si>
  <si>
    <t xml:space="preserve">Wy </t>
  </si>
  <si>
    <t>Rx</t>
  </si>
  <si>
    <t>Ry</t>
  </si>
  <si>
    <t>+ Cường độ tính toán:</t>
  </si>
  <si>
    <t>f =</t>
  </si>
  <si>
    <t>+ Cường độ kéo đứt tiêu chuẩn:</t>
  </si>
  <si>
    <t>fu =</t>
  </si>
  <si>
    <t>+ Mô đun chống cắt:</t>
  </si>
  <si>
    <t>+ Hệ số Poison:</t>
  </si>
  <si>
    <t>v =</t>
  </si>
  <si>
    <t xml:space="preserve">  α =                 </t>
  </si>
  <si>
    <t>độ =</t>
  </si>
  <si>
    <t>- Tiết diện:</t>
  </si>
  <si>
    <t xml:space="preserve">- Vật liệu:                    </t>
  </si>
  <si>
    <t>Ly =</t>
  </si>
  <si>
    <t>+ Chiều dài theo trục Y:</t>
  </si>
  <si>
    <t>+ Chiều dài tính toán theo trục Y:</t>
  </si>
  <si>
    <t>Lyt =</t>
  </si>
  <si>
    <t>+ Chiều dài tính toán theo trục X:</t>
  </si>
  <si>
    <t>+ Chiều dài theo trục X:</t>
  </si>
  <si>
    <t>Lx =</t>
  </si>
  <si>
    <t>Lxt =</t>
  </si>
  <si>
    <t>phương X</t>
  </si>
  <si>
    <t>phương Y</t>
  </si>
  <si>
    <t>+ Chiều dài cánh trên:</t>
  </si>
  <si>
    <t>B1 =</t>
  </si>
  <si>
    <t>+ Chiều dài cánh dưới:</t>
  </si>
  <si>
    <t>B2 =</t>
  </si>
  <si>
    <t>+ Chiều cao tiết diện:</t>
  </si>
  <si>
    <t>+ Chiều dày:</t>
  </si>
  <si>
    <t>t =</t>
  </si>
  <si>
    <t>+ Chiều dài móc:</t>
  </si>
  <si>
    <t>a =</t>
  </si>
  <si>
    <t>+ Bán kính:</t>
  </si>
  <si>
    <t>R =</t>
  </si>
  <si>
    <r>
      <t>mm</t>
    </r>
    <r>
      <rPr>
        <vertAlign val="superscript"/>
        <sz val="10"/>
        <rFont val="Arial"/>
        <family val="2"/>
      </rPr>
      <t>2</t>
    </r>
  </si>
  <si>
    <r>
      <t>cm</t>
    </r>
    <r>
      <rPr>
        <vertAlign val="superscript"/>
        <sz val="10"/>
        <rFont val="Arial"/>
        <family val="2"/>
      </rPr>
      <t>4</t>
    </r>
  </si>
  <si>
    <r>
      <t>cm</t>
    </r>
    <r>
      <rPr>
        <vertAlign val="superscript"/>
        <sz val="10"/>
        <rFont val="Arial"/>
        <family val="2"/>
      </rPr>
      <t>3</t>
    </r>
  </si>
  <si>
    <t>cánh 1</t>
  </si>
  <si>
    <t>cánh 2</t>
  </si>
  <si>
    <t>D</t>
  </si>
  <si>
    <t>B1</t>
  </si>
  <si>
    <t>B2</t>
  </si>
  <si>
    <t>a</t>
  </si>
  <si>
    <t>C</t>
  </si>
  <si>
    <t>dt bụng</t>
  </si>
  <si>
    <t>A1=</t>
  </si>
  <si>
    <t>D*t</t>
  </si>
  <si>
    <t>dt cánh 1</t>
  </si>
  <si>
    <t>A2=</t>
  </si>
  <si>
    <t>(B1-2*t)*t</t>
  </si>
  <si>
    <t>dt mỏ 1</t>
  </si>
  <si>
    <t>A3=</t>
  </si>
  <si>
    <t>a*t</t>
  </si>
  <si>
    <t>dt cánh 2</t>
  </si>
  <si>
    <t>A4=</t>
  </si>
  <si>
    <t>(B2-2*t)*t</t>
  </si>
  <si>
    <t>dt mỏ 2</t>
  </si>
  <si>
    <t>A5=</t>
  </si>
  <si>
    <t>dtt</t>
  </si>
  <si>
    <r>
      <t>S</t>
    </r>
    <r>
      <rPr>
        <sz val="12"/>
        <color rgb="FFFF0000"/>
        <rFont val=".VnTime"/>
        <family val="2"/>
      </rPr>
      <t>A=</t>
    </r>
  </si>
  <si>
    <t>mmt bụng</t>
  </si>
  <si>
    <t>Sx1 =</t>
  </si>
  <si>
    <t>A1.Y1</t>
  </si>
  <si>
    <t>Y1+ =</t>
  </si>
  <si>
    <t>D/2</t>
  </si>
  <si>
    <t>tọa độ Y từ gốc đến tâm cấu kiện</t>
  </si>
  <si>
    <t>mm3</t>
  </si>
  <si>
    <t>mmt cánh 1</t>
  </si>
  <si>
    <t>Sx2 =</t>
  </si>
  <si>
    <t>A2.Y2</t>
  </si>
  <si>
    <t>Y2+ =</t>
  </si>
  <si>
    <t>D-t/2</t>
  </si>
  <si>
    <t>mmt mỏ 1</t>
  </si>
  <si>
    <t>Sx3 =</t>
  </si>
  <si>
    <t>A3.Y3</t>
  </si>
  <si>
    <t>Y3 +=</t>
  </si>
  <si>
    <t>D-a/2</t>
  </si>
  <si>
    <t>mmt cánh 2</t>
  </si>
  <si>
    <t>Sx4 =</t>
  </si>
  <si>
    <t>A4.Y4</t>
  </si>
  <si>
    <t>Y4+ =</t>
  </si>
  <si>
    <t>t/2</t>
  </si>
  <si>
    <t>mmt mỏ 2</t>
  </si>
  <si>
    <t>Sx5 =</t>
  </si>
  <si>
    <t>A5.Y5</t>
  </si>
  <si>
    <t>Y5+ =</t>
  </si>
  <si>
    <t>a/2</t>
  </si>
  <si>
    <t>mmtt</t>
  </si>
  <si>
    <t>Sx =</t>
  </si>
  <si>
    <r>
      <t>S</t>
    </r>
    <r>
      <rPr>
        <sz val="12"/>
        <color rgb="FFFF0000"/>
        <rFont val=".VnTime"/>
        <family val="2"/>
      </rPr>
      <t>Sx</t>
    </r>
  </si>
  <si>
    <t>Sy1 =</t>
  </si>
  <si>
    <t>A1.X1</t>
  </si>
  <si>
    <t>X1+ =</t>
  </si>
  <si>
    <t>tọa độ X từ gốc đến tâm cấu kiện</t>
  </si>
  <si>
    <t>Sy2 =</t>
  </si>
  <si>
    <t>A2.X2</t>
  </si>
  <si>
    <t>X2+ =</t>
  </si>
  <si>
    <t>B1/2</t>
  </si>
  <si>
    <t>Sy3 =</t>
  </si>
  <si>
    <t>A3.X3</t>
  </si>
  <si>
    <t>X3 +=</t>
  </si>
  <si>
    <t>B1-t/2</t>
  </si>
  <si>
    <t>Sy4 =</t>
  </si>
  <si>
    <t>A4.X4</t>
  </si>
  <si>
    <t>X4 +=</t>
  </si>
  <si>
    <t>B2/2</t>
  </si>
  <si>
    <t>Sy5 =</t>
  </si>
  <si>
    <t>A5.X5</t>
  </si>
  <si>
    <t>X5+ =</t>
  </si>
  <si>
    <t>B2-t/2</t>
  </si>
  <si>
    <t>Sy =</t>
  </si>
  <si>
    <r>
      <t>S</t>
    </r>
    <r>
      <rPr>
        <sz val="12"/>
        <color rgb="FFFF0000"/>
        <rFont val=".VnTime"/>
        <family val="2"/>
      </rPr>
      <t>Sy</t>
    </r>
  </si>
  <si>
    <t>trọng tâm mc</t>
  </si>
  <si>
    <t>Y0=</t>
  </si>
  <si>
    <r>
      <rPr>
        <sz val="12"/>
        <color rgb="FFFF0000"/>
        <rFont val=".VnTime"/>
        <family val="2"/>
      </rPr>
      <t>Sx</t>
    </r>
    <r>
      <rPr>
        <sz val="12"/>
        <color rgb="FFFF0000"/>
        <rFont val="Symbol"/>
        <family val="1"/>
        <charset val="2"/>
      </rPr>
      <t>/S</t>
    </r>
    <r>
      <rPr>
        <sz val="12"/>
        <color rgb="FFFF0000"/>
        <rFont val=".VnTime"/>
        <family val="2"/>
      </rPr>
      <t>A</t>
    </r>
  </si>
  <si>
    <t>X0=</t>
  </si>
  <si>
    <r>
      <rPr>
        <sz val="12"/>
        <color rgb="FFFF0000"/>
        <rFont val=".VnTime"/>
        <family val="2"/>
      </rPr>
      <t>Sy</t>
    </r>
    <r>
      <rPr>
        <sz val="12"/>
        <color rgb="FFFF0000"/>
        <rFont val="Symbol"/>
        <family val="1"/>
        <charset val="2"/>
      </rPr>
      <t>/S</t>
    </r>
    <r>
      <rPr>
        <sz val="12"/>
        <color rgb="FFFF0000"/>
        <rFont val=".VnTime"/>
        <family val="2"/>
      </rPr>
      <t>A</t>
    </r>
  </si>
  <si>
    <t>mmqt bụng</t>
  </si>
  <si>
    <t>Ix01</t>
  </si>
  <si>
    <t>t*D^3/12+(D/2-Y0)^2*A1</t>
  </si>
  <si>
    <t>mm4</t>
  </si>
  <si>
    <t>mmqt cánh 1</t>
  </si>
  <si>
    <t>Ix02</t>
  </si>
  <si>
    <t>(B1-2*t)*t^3/12+(D-t/2-Y0)^2*A2</t>
  </si>
  <si>
    <t>mmqt mỏ 1</t>
  </si>
  <si>
    <t>Ix03</t>
  </si>
  <si>
    <t>t*a^3/12+(D-a/2-Y0)^2*A3</t>
  </si>
  <si>
    <t>mmqt cánh 2</t>
  </si>
  <si>
    <t>Ix04</t>
  </si>
  <si>
    <t>(B2-2t)*t^3/12+(Y0-t/2)^2*A4</t>
  </si>
  <si>
    <t>mmqt mỏ 2</t>
  </si>
  <si>
    <t>Ix05</t>
  </si>
  <si>
    <t>t*a^3/12+(Y0-a/2))^2*A5</t>
  </si>
  <si>
    <t>mmqtt</t>
  </si>
  <si>
    <t>Ix0 =</t>
  </si>
  <si>
    <r>
      <t>S</t>
    </r>
    <r>
      <rPr>
        <sz val="12"/>
        <color rgb="FFFF0000"/>
        <rFont val=".VnTime"/>
        <family val="2"/>
      </rPr>
      <t>Ix0</t>
    </r>
  </si>
  <si>
    <t>Iy01</t>
  </si>
  <si>
    <t>D*t^3/12+(X0-t/2)^2*A1</t>
  </si>
  <si>
    <t>Iy02</t>
  </si>
  <si>
    <t>t*(B1-2*t)^3/12+(B1/2-X0)^2*A2</t>
  </si>
  <si>
    <t>Iyo3</t>
  </si>
  <si>
    <t>a*t^3/12+(B1-t/2-X0)^2*A3</t>
  </si>
  <si>
    <t>Iyo4</t>
  </si>
  <si>
    <t>t*(B2-2t)^3/12+(B2/2-X0)^2*A4</t>
  </si>
  <si>
    <t>Iyo5</t>
  </si>
  <si>
    <t>a*t^3/12+(B2-t/2-X0)^2*A5</t>
  </si>
  <si>
    <t>Iy0 =</t>
  </si>
  <si>
    <r>
      <t>S</t>
    </r>
    <r>
      <rPr>
        <sz val="12"/>
        <color rgb="FFFF0000"/>
        <rFont val=".VnTime"/>
        <family val="2"/>
      </rPr>
      <t>Iy0</t>
    </r>
  </si>
  <si>
    <t>mmku</t>
  </si>
  <si>
    <t>Wx=</t>
  </si>
  <si>
    <t>Ix0/ymax</t>
  </si>
  <si>
    <t>x/ymax là k/c từ trọng tâm mc (trục TH) đến điễm xa nhất theo phương X/Y</t>
  </si>
  <si>
    <t>Wy=</t>
  </si>
  <si>
    <t>Iy0/xmax</t>
  </si>
  <si>
    <t>bkqt</t>
  </si>
  <si>
    <t>Rx =</t>
  </si>
  <si>
    <t>sqrt (Ix0/ A)</t>
  </si>
  <si>
    <t>Ry =</t>
  </si>
  <si>
    <t>sqrt (Iy0/ A)</t>
  </si>
  <si>
    <t>CT chuyển trục // từ gốc 0-0 đến trọng tâm mc</t>
  </si>
  <si>
    <t>Ix = Ix gốc + y^2*A</t>
  </si>
  <si>
    <t>y là k/c theo phương y giữa trọng tâm mc ( gốc mới) đến tâm tiết diện cần tính</t>
  </si>
  <si>
    <t>Iy = Iy gốc + x^2*A</t>
  </si>
  <si>
    <t>x là k/c theo phương x giữa trọng tâm mc ( gốc mới) đến tâm tiết diện cần tính</t>
  </si>
  <si>
    <t>Y2 =</t>
  </si>
  <si>
    <t>Y3 =</t>
  </si>
  <si>
    <t>Y4 =</t>
  </si>
  <si>
    <t>Y5 =</t>
  </si>
  <si>
    <t>X1 =</t>
  </si>
  <si>
    <t>B1/2-t</t>
  </si>
  <si>
    <t>X2- =</t>
  </si>
  <si>
    <t>- (B1/2-t)</t>
  </si>
  <si>
    <t>B1-t/2-t</t>
  </si>
  <si>
    <t>X3- =</t>
  </si>
  <si>
    <t>- (B1-t/2-t)</t>
  </si>
  <si>
    <t>X4 =</t>
  </si>
  <si>
    <t>X5 =</t>
  </si>
  <si>
    <t>t*(B1-2*t)^3/12+(B1/2-t+X0)^2*A2</t>
  </si>
  <si>
    <t>a*t^3/12+(B1-t/2-t+X0)^2*A3</t>
  </si>
  <si>
    <t>+ Chu vi mặt cắt:</t>
  </si>
  <si>
    <t>Am =</t>
  </si>
  <si>
    <t>Am</t>
  </si>
  <si>
    <t>Am1</t>
  </si>
  <si>
    <t>Am2</t>
  </si>
  <si>
    <t>Am3</t>
  </si>
  <si>
    <t>Am4</t>
  </si>
  <si>
    <t xml:space="preserve">Wel,Y = </t>
  </si>
  <si>
    <t xml:space="preserve">Wel,X = </t>
  </si>
  <si>
    <t>- Chiều dài tính toán của xà gồ:</t>
  </si>
  <si>
    <t>n =</t>
  </si>
  <si>
    <t xml:space="preserve">- Góc dốc mái:                                         </t>
  </si>
  <si>
    <t xml:space="preserve">+ Mô men kháng uốn trục Y:              </t>
  </si>
  <si>
    <t xml:space="preserve">+ Mô men kháng uốn trục X:              </t>
  </si>
  <si>
    <t xml:space="preserve">+ Mô men quán tính trục X:       </t>
  </si>
  <si>
    <t xml:space="preserve">+ Mô men quán tính trục Y:       </t>
  </si>
  <si>
    <t>Jx =</t>
  </si>
  <si>
    <t>Jy =</t>
  </si>
  <si>
    <t xml:space="preserve">+ Bán kính quán tính trục X:       </t>
  </si>
  <si>
    <t xml:space="preserve">+ Bán kính quán tính trục Y:       </t>
  </si>
  <si>
    <t>- Phân loại tiết diện:</t>
  </si>
  <si>
    <t>+ Hoạt tải mái:</t>
  </si>
  <si>
    <t xml:space="preserve">qx (kN/m) =   </t>
  </si>
  <si>
    <t xml:space="preserve">Mx,Ed (kNm) = </t>
  </si>
  <si>
    <t>Tĩnh tải và hoạt tải mái</t>
  </si>
  <si>
    <t xml:space="preserve">Mx,fi =           </t>
  </si>
  <si>
    <t xml:space="preserve">Mx,fi (kNm) =           </t>
  </si>
  <si>
    <t xml:space="preserve">My,fi (kNm) =           </t>
  </si>
  <si>
    <t>Wx (cm3) =</t>
  </si>
  <si>
    <t>- Thời gian tăng từ nhiệt độ thường (20 độ C) đến nhiệt độ tới hạn.</t>
  </si>
  <si>
    <t>H =</t>
  </si>
  <si>
    <t>C200</t>
  </si>
  <si>
    <t>Hệ số sử dụng vật liệu</t>
  </si>
  <si>
    <t>Phân loại tiết diện</t>
  </si>
  <si>
    <t>Nhiệt độ tới hạn</t>
  </si>
  <si>
    <t>Nhiệt độ phát triển trong cấu kiện không bọc bảo vệ:</t>
  </si>
  <si>
    <r>
      <rPr>
        <sz val="11"/>
        <color theme="1"/>
        <rFont val="Symbol"/>
        <family val="1"/>
        <charset val="2"/>
      </rPr>
      <t>Dq</t>
    </r>
    <r>
      <rPr>
        <vertAlign val="subscript"/>
        <sz val="11"/>
        <color theme="1"/>
        <rFont val="Times New Roman"/>
        <family val="1"/>
      </rPr>
      <t>a,t</t>
    </r>
    <r>
      <rPr>
        <sz val="11"/>
        <color theme="1"/>
        <rFont val="Times New Roman"/>
        <family val="1"/>
      </rPr>
      <t xml:space="preserve"> = k</t>
    </r>
    <r>
      <rPr>
        <vertAlign val="subscript"/>
        <sz val="11"/>
        <color theme="1"/>
        <rFont val="Times New Roman"/>
        <family val="1"/>
      </rPr>
      <t>sh</t>
    </r>
    <r>
      <rPr>
        <sz val="11"/>
        <color theme="1"/>
        <rFont val="Times New Roman"/>
        <family val="1"/>
      </rPr>
      <t>*(A</t>
    </r>
    <r>
      <rPr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/V)/(c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*</t>
    </r>
    <r>
      <rPr>
        <sz val="11"/>
        <color theme="1"/>
        <rFont val="Symbol"/>
        <family val="1"/>
        <charset val="2"/>
      </rPr>
      <t>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)*h</t>
    </r>
    <r>
      <rPr>
        <vertAlign val="superscript"/>
        <sz val="11"/>
        <color theme="1"/>
        <rFont val="Times New Roman"/>
        <family val="1"/>
      </rPr>
      <t>*</t>
    </r>
    <r>
      <rPr>
        <vertAlign val="subscript"/>
        <sz val="11"/>
        <color theme="1"/>
        <rFont val="Times New Roman"/>
        <family val="1"/>
      </rPr>
      <t>net,d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Times New Roman"/>
        <family val="1"/>
      </rPr>
      <t>t</t>
    </r>
  </si>
  <si>
    <r>
      <t>h</t>
    </r>
    <r>
      <rPr>
        <vertAlign val="superscript"/>
        <sz val="11"/>
        <color theme="1"/>
        <rFont val="Times New Roman"/>
        <family val="1"/>
      </rPr>
      <t>*</t>
    </r>
    <r>
      <rPr>
        <vertAlign val="subscript"/>
        <sz val="11"/>
        <color theme="1"/>
        <rFont val="Times New Roman"/>
        <family val="1"/>
      </rPr>
      <t>net,d</t>
    </r>
    <r>
      <rPr>
        <sz val="11"/>
        <color theme="1"/>
        <rFont val="Times New Roman"/>
        <family val="1"/>
      </rPr>
      <t xml:space="preserve"> = </t>
    </r>
    <r>
      <rPr>
        <sz val="11"/>
        <color theme="1"/>
        <rFont val="Symbol"/>
        <family val="1"/>
        <charset val="2"/>
      </rPr>
      <t>a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>-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)+</t>
    </r>
    <r>
      <rPr>
        <sz val="11"/>
        <color theme="1"/>
        <rFont val="Symbol"/>
        <family val="1"/>
        <charset val="2"/>
      </rPr>
      <t xml:space="preserve"> Fe</t>
    </r>
    <r>
      <rPr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Symbol"/>
        <family val="1"/>
        <charset val="2"/>
      </rPr>
      <t>e</t>
    </r>
    <r>
      <rPr>
        <vertAlign val="subscript"/>
        <sz val="11"/>
        <color theme="1"/>
        <rFont val="Times New Roman"/>
        <family val="1"/>
      </rPr>
      <t>f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Times New Roman"/>
        <family val="1"/>
      </rPr>
      <t>[(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+273)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-(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+273)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]</t>
    </r>
  </si>
  <si>
    <t>Hệ số đổ bóng</t>
  </si>
  <si>
    <t>Hệ số truyển nhiệt bằng đối lưu</t>
  </si>
  <si>
    <t>Nhiệt độ khí trong khoang cháy</t>
  </si>
  <si>
    <t>Nhiệt độ bề mặt của cấu kiện</t>
  </si>
  <si>
    <t>Hệ số</t>
  </si>
  <si>
    <t>Độ phát xạ của lửa</t>
  </si>
  <si>
    <t>Hằng số Stephan Boltzmann</t>
  </si>
  <si>
    <t>Nhiệt độ bức xạ hữu hiệu của môi trường cháy</t>
  </si>
  <si>
    <t>Nhiệt dung riêng của thép phụ thuộc nhiệt độ</t>
  </si>
  <si>
    <t>Khối lượng riêng của thép</t>
  </si>
  <si>
    <t>Không quá 5 giây</t>
  </si>
  <si>
    <t xml:space="preserve">Nhiệt độ trên bề mặt cấu kiện sau khoảng thời gian </t>
  </si>
  <si>
    <t>Kiểm tra</t>
  </si>
  <si>
    <t>3.Xác định nhiệt độ tới hạn và đánh giá khả năng chịu lửa R8</t>
  </si>
  <si>
    <t>class 4</t>
  </si>
  <si>
    <t>(phút)</t>
  </si>
  <si>
    <r>
      <rPr>
        <b/>
        <sz val="11"/>
        <color theme="1"/>
        <rFont val="Symbol"/>
        <family val="1"/>
        <charset val="2"/>
      </rPr>
      <t xml:space="preserve"> q</t>
    </r>
    <r>
      <rPr>
        <b/>
        <vertAlign val="subscript"/>
        <sz val="11"/>
        <color theme="1"/>
        <rFont val="Times New Roman"/>
        <family val="1"/>
      </rPr>
      <t>a,cr</t>
    </r>
    <r>
      <rPr>
        <b/>
        <sz val="11"/>
        <color theme="1"/>
        <rFont val="Times New Roman"/>
        <family val="1"/>
      </rPr>
      <t xml:space="preserve"> =</t>
    </r>
  </si>
  <si>
    <t>&gt;</t>
  </si>
  <si>
    <r>
      <rPr>
        <b/>
        <sz val="11"/>
        <color theme="1"/>
        <rFont val="Symbol"/>
        <family val="1"/>
        <charset val="2"/>
      </rPr>
      <t>Dq</t>
    </r>
    <r>
      <rPr>
        <b/>
        <vertAlign val="subscript"/>
        <sz val="11"/>
        <color theme="1"/>
        <rFont val="Times New Roman"/>
        <family val="1"/>
      </rPr>
      <t>a,t</t>
    </r>
    <r>
      <rPr>
        <b/>
        <sz val="11"/>
        <color theme="1"/>
        <rFont val="Times New Roman"/>
        <family val="1"/>
      </rPr>
      <t xml:space="preserve"> =</t>
    </r>
  </si>
  <si>
    <t>Đạt R8</t>
  </si>
  <si>
    <r>
      <rPr>
        <sz val="11"/>
        <color theme="1"/>
        <rFont val="Symbol"/>
        <family val="1"/>
        <charset val="2"/>
      </rPr>
      <t>m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=</t>
    </r>
  </si>
  <si>
    <t>(phụ lục E-BS EN 1993-1-2:2005)</t>
  </si>
  <si>
    <r>
      <t>(</t>
    </r>
    <r>
      <rPr>
        <vertAlign val="superscript"/>
        <sz val="11"/>
        <color rgb="FF000000"/>
        <rFont val="Calibri"/>
        <family val="2"/>
      </rPr>
      <t>o</t>
    </r>
    <r>
      <rPr>
        <sz val="11"/>
        <color rgb="FF000000"/>
        <rFont val="Calibri"/>
        <family val="2"/>
      </rPr>
      <t>C)</t>
    </r>
  </si>
  <si>
    <r>
      <rPr>
        <sz val="11"/>
        <color theme="1"/>
        <rFont val="Symbol"/>
        <family val="1"/>
        <charset val="2"/>
      </rPr>
      <t xml:space="preserve"> q</t>
    </r>
    <r>
      <rPr>
        <vertAlign val="subscript"/>
        <sz val="11"/>
        <color theme="1"/>
        <rFont val="Times New Roman"/>
        <family val="1"/>
      </rPr>
      <t>a,cr</t>
    </r>
    <r>
      <rPr>
        <sz val="11"/>
        <color theme="1"/>
        <rFont val="Times New Roman"/>
        <family val="1"/>
      </rPr>
      <t xml:space="preserve"> =</t>
    </r>
  </si>
  <si>
    <r>
      <t>A</t>
    </r>
    <r>
      <rPr>
        <vertAlign val="subscript"/>
        <sz val="11"/>
        <color rgb="FF000000"/>
        <rFont val="Calibri"/>
        <family val="2"/>
      </rPr>
      <t>m</t>
    </r>
    <r>
      <rPr>
        <sz val="11"/>
        <color rgb="FF000000"/>
        <rFont val="Calibri"/>
        <family val="2"/>
      </rPr>
      <t>/V</t>
    </r>
  </si>
  <si>
    <r>
      <t>K</t>
    </r>
    <r>
      <rPr>
        <vertAlign val="subscript"/>
        <sz val="11"/>
        <color rgb="FF000000"/>
        <rFont val="Calibri"/>
        <family val="2"/>
      </rPr>
      <t>sh</t>
    </r>
    <r>
      <rPr>
        <sz val="11"/>
        <color rgb="FF000000"/>
        <rFont val="Calibri"/>
        <family val="2"/>
      </rPr>
      <t>A</t>
    </r>
    <r>
      <rPr>
        <vertAlign val="subscript"/>
        <sz val="11"/>
        <color rgb="FF000000"/>
        <rFont val="Calibri"/>
        <family val="2"/>
      </rPr>
      <t>m</t>
    </r>
    <r>
      <rPr>
        <sz val="11"/>
        <color rgb="FF000000"/>
        <rFont val="Calibri"/>
        <family val="2"/>
      </rPr>
      <t>/v</t>
    </r>
  </si>
  <si>
    <r>
      <t>k</t>
    </r>
    <r>
      <rPr>
        <vertAlign val="subscript"/>
        <sz val="11"/>
        <color theme="1"/>
        <rFont val="Times New Roman"/>
        <family val="1"/>
      </rPr>
      <t>sh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</si>
  <si>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 xml:space="preserve"> a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</si>
  <si>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 xml:space="preserve"> q</t>
    </r>
    <r>
      <rPr>
        <vertAlign val="subscript"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</si>
  <si>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 xml:space="preserve"> q</t>
    </r>
    <r>
      <rPr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</si>
  <si>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 xml:space="preserve"> F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</si>
  <si>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>e</t>
    </r>
    <r>
      <rPr>
        <vertAlign val="subscript"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</si>
  <si>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>e</t>
    </r>
    <r>
      <rPr>
        <vertAlign val="subscript"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</si>
  <si>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>s</t>
    </r>
    <r>
      <rPr>
        <sz val="12.65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=</t>
    </r>
  </si>
  <si>
    <r>
      <rPr>
        <sz val="11"/>
        <color theme="1"/>
        <rFont val="Symbol"/>
        <family val="1"/>
        <charset val="2"/>
      </rPr>
      <t xml:space="preserve"> q</t>
    </r>
    <r>
      <rPr>
        <vertAlign val="sub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=</t>
    </r>
  </si>
  <si>
    <r>
      <t>C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</si>
  <si>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>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=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</si>
  <si>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Times New Roman"/>
        <family val="1"/>
      </rPr>
      <t>t =</t>
    </r>
  </si>
  <si>
    <r>
      <t>(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C)</t>
    </r>
  </si>
  <si>
    <r>
      <t>W/m</t>
    </r>
    <r>
      <rPr>
        <vertAlign val="superscript"/>
        <sz val="11"/>
        <color theme="1"/>
        <rFont val="Times New Roman"/>
        <family val="1"/>
      </rPr>
      <t>2</t>
    </r>
  </si>
  <si>
    <r>
      <t>W/m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K</t>
    </r>
  </si>
  <si>
    <r>
      <t>W/m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K</t>
    </r>
    <r>
      <rPr>
        <vertAlign val="superscript"/>
        <sz val="11"/>
        <color theme="1"/>
        <rFont val="Times New Roman"/>
        <family val="1"/>
      </rPr>
      <t>4</t>
    </r>
  </si>
  <si>
    <r>
      <t>(J/kg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>K)</t>
    </r>
  </si>
  <si>
    <r>
      <t>(kg/m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</si>
  <si>
    <t>[3.2.1]</t>
  </si>
  <si>
    <t>[3.4.1.2]</t>
  </si>
  <si>
    <t>[3.1]</t>
  </si>
  <si>
    <t>[B.1.3]</t>
  </si>
  <si>
    <t>V =</t>
  </si>
  <si>
    <t>Độ phát xạ bề mặt của cấu kiện</t>
  </si>
  <si>
    <t>C 120*50*20*3 mm</t>
  </si>
  <si>
    <t>DỰ ÁN:</t>
  </si>
  <si>
    <t>ĐỊA ĐIỂM:</t>
  </si>
  <si>
    <t>CHỦ ĐẦU TƯ:</t>
  </si>
  <si>
    <t>TƯ VẤN THIẾT KẾ:</t>
  </si>
  <si>
    <t>+ Tải trọng treo trên xà gồ:</t>
  </si>
  <si>
    <t>g1=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</si>
</sst>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43" formatCode="_-* #,##0.00_-;\-* #,##0.00_-;_-* &quot;-&quot;??_-;_-@_-"/>
    <numFmt numFmtId="164" formatCode="0.000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* #,##0.00\ _₫_-;\-* #,##0.00\ _₫_-;_-* &quot;-&quot;??\ _₫_-;_-@_-"/>
    <numFmt numFmtId="168" formatCode="_(* #,##0_);_(* \(#,##0\);_(* &quot;-&quot;??_);_(@_)"/>
    <numFmt numFmtId="169" formatCode="&quot;\&quot;#,##0;[Red]&quot;\&quot;\-#,##0"/>
    <numFmt numFmtId="170" formatCode="&quot;\&quot;#,##0.00;[Red]&quot;\&quot;\-#,##0.00"/>
    <numFmt numFmtId="171" formatCode="\$#,##0\ ;\(\$#,##0\)"/>
    <numFmt numFmtId="172" formatCode="&quot;\&quot;#,##0;[Red]&quot;\&quot;&quot;\&quot;\-#,##0"/>
    <numFmt numFmtId="173" formatCode="&quot;\&quot;#,##0.00;[Red]&quot;\&quot;&quot;\&quot;&quot;\&quot;&quot;\&quot;&quot;\&quot;&quot;\&quot;\-#,##0.00"/>
    <numFmt numFmtId="174" formatCode="_ * #,##0_ ;_ * \-#,##0_ ;_ * &quot;-&quot;_ ;_ @_ "/>
    <numFmt numFmtId="175" formatCode="_ * #,##0.00_ ;_ * \-#,##0.00_ ;_ * &quot;-&quot;??_ ;_ @_ "/>
    <numFmt numFmtId="176" formatCode="#,##0\ &quot;F&quot;;[Red]\-#,##0\ &quot;F&quot;"/>
    <numFmt numFmtId="177" formatCode="#,##0.00\ &quot;F&quot;;\-#,##0.00\ &quot;F&quot;"/>
    <numFmt numFmtId="178" formatCode="#,##0.00\ &quot;F&quot;;[Red]\-#,##0.00\ &quot;F&quot;"/>
    <numFmt numFmtId="179" formatCode="_-* #,##0\ &quot;F&quot;_-;\-* #,##0\ &quot;F&quot;_-;_-* &quot;-&quot;\ &quot;F&quot;_-;_-@_-"/>
    <numFmt numFmtId="180" formatCode="0.00_)"/>
    <numFmt numFmtId="181" formatCode="#,##0.00_);\-#,##0.00_)"/>
    <numFmt numFmtId="182" formatCode="#,##0_);\-#,##0_)"/>
    <numFmt numFmtId="183" formatCode="_(* #,##0.000000_);_(* \(#,##0.000000\);_(* &quot;-&quot;??_);_(@_)"/>
    <numFmt numFmtId="184" formatCode="_(* #,##0.000_);_(* \(#,##0.000\);_(* &quot;-&quot;??_);_(@_)"/>
    <numFmt numFmtId="185" formatCode="_(* #,##0.0000_);_(* \(#,##0.0000\);_(* &quot;-&quot;??_);_(@_)"/>
    <numFmt numFmtId="186" formatCode="_-* #,##0&quot;$&quot;_-;_-* #,##0&quot;$&quot;\-;_-* &quot;-&quot;&quot;$&quot;_-;_-@_-"/>
    <numFmt numFmtId="187" formatCode="_-* #,##0\ _F_-;\-* #,##0\ _F_-;_-* &quot;-&quot;\ _F_-;_-@_-"/>
    <numFmt numFmtId="188" formatCode="_-* #,##0\ &quot;$&quot;_-;\-* #,##0\ &quot;$&quot;_-;_-* &quot;-&quot;\ &quot;$&quot;_-;_-@_-"/>
    <numFmt numFmtId="189" formatCode="_-&quot;ñ&quot;* #,##0_-;\-&quot;ñ&quot;* #,##0_-;_-&quot;ñ&quot;* &quot;-&quot;_-;_-@_-"/>
    <numFmt numFmtId="190" formatCode="_-* #,##0.00_$_-;_-* #,##0.00_$\-;_-* &quot;-&quot;??_$_-;_-@_-"/>
    <numFmt numFmtId="191" formatCode="_-* #,##0.00\ _V_N_D_-;\-* #,##0.00\ _V_N_D_-;_-* &quot;-&quot;??\ _V_N_D_-;_-@_-"/>
    <numFmt numFmtId="192" formatCode="_-* #,##0.00\ _F_-;\-* #,##0.00\ _F_-;_-* &quot;-&quot;??\ _F_-;_-@_-"/>
    <numFmt numFmtId="193" formatCode="_-* #,##0.00\ _V_N_Ñ_-;_-* #,##0.00\ _V_N_Ñ\-;_-* &quot;-&quot;??\ _V_N_Ñ_-;_-@_-"/>
    <numFmt numFmtId="194" formatCode="_-* #,##0.00\ _ñ_-;\-* #,##0.00\ _ñ_-;_-* &quot;-&quot;??\ _ñ_-;_-@_-"/>
    <numFmt numFmtId="195" formatCode="_(&quot;$&quot;\ * #,##0_);_(&quot;$&quot;\ * \(#,##0\);_(&quot;$&quot;\ * &quot;-&quot;_);_(@_)"/>
    <numFmt numFmtId="196" formatCode="_-* #,##0\ &quot;ñ&quot;_-;\-* #,##0\ &quot;ñ&quot;_-;_-* &quot;-&quot;\ &quot;ñ&quot;_-;_-@_-"/>
    <numFmt numFmtId="197" formatCode="_-* #,##0_$_-;_-* #,##0_$\-;_-* &quot;-&quot;_$_-;_-@_-"/>
    <numFmt numFmtId="198" formatCode="_-* #,##0\ _V_N_D_-;\-* #,##0\ _V_N_D_-;_-* &quot;-&quot;\ _V_N_D_-;_-@_-"/>
    <numFmt numFmtId="199" formatCode="_-* #,##0\ _V_N_Ñ_-;_-* #,##0\ _V_N_Ñ\-;_-* &quot;-&quot;\ _V_N_Ñ_-;_-@_-"/>
    <numFmt numFmtId="200" formatCode="_-* #,##0\ _$_-;\-* #,##0\ _$_-;_-* &quot;-&quot;\ _$_-;_-@_-"/>
    <numFmt numFmtId="201" formatCode="_-* #,##0\ _ñ_-;\-* #,##0\ _ñ_-;_-* &quot;-&quot;\ _ñ_-;_-@_-"/>
    <numFmt numFmtId="202" formatCode="&quot;SFr.&quot;\ #,##0.00;[Red]&quot;SFr.&quot;\ \-#,##0.00"/>
    <numFmt numFmtId="203" formatCode="_ &quot;SFr.&quot;\ * #,##0_ ;_ &quot;SFr.&quot;\ * \-#,##0_ ;_ &quot;SFr.&quot;\ * &quot;-&quot;_ ;_ @_ "/>
    <numFmt numFmtId="204" formatCode="_ &quot;\&quot;* #,##0.00_ ;_ &quot;\&quot;* \-#,##0.00_ ;_ &quot;\&quot;* &quot;-&quot;??_ ;_ @_ "/>
    <numFmt numFmtId="205" formatCode="_-* #,##0.00\ &quot;F&quot;_-;\-* #,##0.00\ &quot;F&quot;_-;_-* &quot;-&quot;??\ &quot;F&quot;_-;_-@_-"/>
    <numFmt numFmtId="206" formatCode="General\ &quot;min&quot;"/>
  </numFmts>
  <fonts count="108">
    <font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163"/>
    </font>
    <font>
      <b/>
      <sz val="11"/>
      <color rgb="FF000000"/>
      <name val="Calibri"/>
      <family val="2"/>
      <charset val="163"/>
    </font>
    <font>
      <sz val="11"/>
      <color rgb="FF000000"/>
      <name val="Calibri"/>
      <family val="2"/>
      <charset val="163"/>
    </font>
    <font>
      <sz val="11"/>
      <color rgb="FF4D4D4D"/>
      <name val="Calibri"/>
      <family val="2"/>
      <charset val="163"/>
    </font>
    <font>
      <sz val="11"/>
      <color rgb="FF565656"/>
      <name val="Calibri"/>
      <family val="2"/>
      <charset val="163"/>
    </font>
    <font>
      <sz val="11"/>
      <color rgb="FF000000"/>
      <name val="Times New Roman"/>
      <family val="1"/>
      <charset val="163"/>
    </font>
    <font>
      <sz val="11"/>
      <color rgb="FF000000"/>
      <name val="Symbol"/>
      <family val="1"/>
      <charset val="2"/>
    </font>
    <font>
      <sz val="9.5"/>
      <color rgb="FF000000"/>
      <name val="Times New Roman"/>
      <family val="1"/>
      <charset val="163"/>
    </font>
    <font>
      <sz val="7.5"/>
      <color rgb="FF000000"/>
      <name val="Calibri"/>
      <family val="2"/>
      <charset val="163"/>
    </font>
    <font>
      <sz val="7.5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sz val="12"/>
      <name val=".VnTime"/>
      <family val="2"/>
    </font>
    <font>
      <sz val="12"/>
      <color rgb="FF000000"/>
      <name val="Times New Roman"/>
      <family val="1"/>
      <charset val="163"/>
    </font>
    <font>
      <sz val="6.5"/>
      <color rgb="FF000000"/>
      <name val="Times New Roman"/>
      <family val="1"/>
      <charset val="163"/>
    </font>
    <font>
      <sz val="7"/>
      <color rgb="FF000000"/>
      <name val="Times New Roman"/>
      <family val="1"/>
      <charset val="163"/>
    </font>
    <font>
      <sz val="13"/>
      <color rgb="FF000000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1"/>
      <color rgb="FFFF0000"/>
      <name val="Calibri"/>
      <family val="2"/>
      <charset val="204"/>
    </font>
    <font>
      <sz val="12"/>
      <color rgb="FF000000"/>
      <name val="Calibri"/>
      <family val="2"/>
      <charset val="163"/>
    </font>
    <font>
      <sz val="11"/>
      <color rgb="FFFF0000"/>
      <name val="Calibri"/>
      <family val="2"/>
      <charset val="163"/>
    </font>
    <font>
      <b/>
      <sz val="10"/>
      <name val="Arial"/>
      <family val="2"/>
      <charset val="163"/>
    </font>
    <font>
      <sz val="10"/>
      <color rgb="FFFF0000"/>
      <name val="Arial"/>
      <family val="2"/>
      <charset val="163"/>
    </font>
    <font>
      <vertAlign val="superscript"/>
      <sz val="10"/>
      <name val="Arial"/>
      <family val="2"/>
    </font>
    <font>
      <sz val="10"/>
      <name val="Arial"/>
      <family val="2"/>
      <charset val="163"/>
    </font>
    <font>
      <sz val="12"/>
      <color rgb="FFFF0000"/>
      <name val="Symbol"/>
      <family val="1"/>
      <charset val="2"/>
    </font>
    <font>
      <sz val="12"/>
      <color rgb="FFFF0000"/>
      <name val=".VnTime"/>
      <family val="2"/>
    </font>
    <font>
      <sz val="10"/>
      <name val="VNI-Times"/>
    </font>
    <font>
      <sz val="10"/>
      <color rgb="FFFF0000"/>
      <name val="Arial"/>
      <family val="2"/>
    </font>
    <font>
      <b/>
      <u/>
      <sz val="11"/>
      <color rgb="FFFF0000"/>
      <name val="Calibri"/>
      <family val="2"/>
      <charset val="163"/>
    </font>
    <font>
      <b/>
      <sz val="11"/>
      <name val="Calibri"/>
      <family val="2"/>
      <charset val="163"/>
    </font>
    <font>
      <sz val="9"/>
      <color indexed="81"/>
      <name val="Tahoma"/>
      <family val="2"/>
      <charset val="163"/>
    </font>
    <font>
      <b/>
      <sz val="9"/>
      <color indexed="81"/>
      <name val="Tahoma"/>
      <family val="2"/>
      <charset val="163"/>
    </font>
    <font>
      <sz val="11"/>
      <color theme="8"/>
      <name val="Calibri"/>
      <family val="2"/>
      <charset val="204"/>
    </font>
    <font>
      <b/>
      <sz val="15"/>
      <color rgb="FFFF0000"/>
      <name val="Calibri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2"/>
      <name val="VNI-Times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VNI-Avo"/>
    </font>
    <font>
      <sz val="10"/>
      <name val="Symbol"/>
      <family val="1"/>
      <charset val="2"/>
    </font>
    <font>
      <sz val="10"/>
      <name val=".VnArial"/>
      <family val="2"/>
    </font>
    <font>
      <sz val="12"/>
      <name val="|??¢¥¢¬¨Ï"/>
      <family val="1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b/>
      <i/>
      <sz val="16"/>
      <name val="Helv"/>
    </font>
    <font>
      <sz val="11"/>
      <name val="VNI-Aptima"/>
    </font>
    <font>
      <sz val="10"/>
      <name val="VNbook-Antiqua"/>
      <family val="2"/>
    </font>
    <font>
      <sz val="13"/>
      <name val=".VnTime"/>
      <family val="2"/>
    </font>
    <font>
      <sz val="14"/>
      <name val="Bookman Old Style"/>
      <family val="1"/>
    </font>
    <font>
      <sz val="12"/>
      <name val="바탕체"/>
      <family val="3"/>
    </font>
    <font>
      <sz val="12"/>
      <name val="新細明體"/>
      <charset val="136"/>
    </font>
    <font>
      <sz val="12"/>
      <name val="Courier"/>
      <family val="3"/>
    </font>
    <font>
      <sz val="12"/>
      <name val="???"/>
      <family val="1"/>
      <charset val="129"/>
    </font>
    <font>
      <sz val="12"/>
      <name val="????"/>
      <charset val="136"/>
    </font>
    <font>
      <sz val="12"/>
      <name val="???"/>
      <family val="3"/>
    </font>
    <font>
      <sz val="12"/>
      <color indexed="8"/>
      <name val="¹ÙÅÁÃ¼"/>
      <family val="1"/>
      <charset val="129"/>
    </font>
    <font>
      <sz val="12"/>
      <name val="¹ÙÅÁÃ¼"/>
      <charset val="129"/>
    </font>
    <font>
      <sz val="11"/>
      <name val="µ¸¿ò"/>
      <charset val="129"/>
    </font>
    <font>
      <sz val="12"/>
      <name val="VNI-Helve-Condense"/>
    </font>
    <font>
      <sz val="11"/>
      <color indexed="8"/>
      <name val=".VnArial"/>
      <family val="2"/>
    </font>
    <font>
      <sz val="11"/>
      <color indexed="9"/>
      <name val=".VnArial"/>
      <family val="2"/>
    </font>
    <font>
      <sz val="11"/>
      <color indexed="20"/>
      <name val=".VnArial"/>
      <family val="2"/>
    </font>
    <font>
      <sz val="12"/>
      <name val="¹ÙÅÁÃ¼"/>
      <family val="1"/>
      <charset val="129"/>
    </font>
    <font>
      <b/>
      <sz val="11"/>
      <color indexed="52"/>
      <name val=".VnArial"/>
      <family val="2"/>
    </font>
    <font>
      <b/>
      <sz val="11"/>
      <color indexed="9"/>
      <name val=".VnArial"/>
      <family val="2"/>
    </font>
    <font>
      <i/>
      <sz val="11"/>
      <color indexed="23"/>
      <name val=".VnArial"/>
      <family val="2"/>
    </font>
    <font>
      <sz val="11"/>
      <color indexed="17"/>
      <name val=".VnArial"/>
      <family val="2"/>
    </font>
    <font>
      <b/>
      <sz val="15"/>
      <color indexed="56"/>
      <name val=".VnArial"/>
      <family val="2"/>
    </font>
    <font>
      <b/>
      <sz val="13"/>
      <color indexed="56"/>
      <name val=".VnArial"/>
      <family val="2"/>
    </font>
    <font>
      <b/>
      <sz val="11"/>
      <color indexed="56"/>
      <name val=".VnArial"/>
      <family val="2"/>
    </font>
    <font>
      <sz val="11"/>
      <color indexed="62"/>
      <name val=".VnArial"/>
      <family val="2"/>
    </font>
    <font>
      <sz val="11"/>
      <color indexed="52"/>
      <name val=".VnArial"/>
      <family val="2"/>
    </font>
    <font>
      <sz val="11"/>
      <color indexed="60"/>
      <name val=".VnArial"/>
      <family val="2"/>
    </font>
    <font>
      <b/>
      <sz val="11"/>
      <color indexed="63"/>
      <name val=".VnArial"/>
      <family val="2"/>
    </font>
    <font>
      <b/>
      <sz val="18"/>
      <color indexed="56"/>
      <name val="Cambria"/>
      <family val="2"/>
    </font>
    <font>
      <b/>
      <sz val="11"/>
      <color indexed="8"/>
      <name val=".VnArial"/>
      <family val="2"/>
    </font>
    <font>
      <sz val="11"/>
      <color indexed="10"/>
      <name val=".VnArial"/>
      <family val="2"/>
    </font>
    <font>
      <sz val="11"/>
      <color theme="1"/>
      <name val="Arial"/>
      <family val="2"/>
    </font>
    <font>
      <sz val="12"/>
      <color theme="1"/>
      <name val="VNI-Helve-Condense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Calibri"/>
      <family val="2"/>
    </font>
    <font>
      <sz val="12.65"/>
      <color theme="1"/>
      <name val="Times New Roman"/>
      <family val="1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Times New Roman"/>
      <family val="1"/>
    </font>
    <font>
      <vertAlign val="superscript"/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  <font>
      <b/>
      <u/>
      <sz val="11"/>
      <color rgb="FFFF0000"/>
      <name val="Calibri"/>
      <family val="2"/>
    </font>
    <font>
      <sz val="11"/>
      <color rgb="FF000000"/>
      <name val="Calibri"/>
      <family val="2"/>
    </font>
    <font>
      <sz val="13"/>
      <color rgb="FF000000"/>
      <name val="Calibri"/>
      <family val="2"/>
      <charset val="163"/>
    </font>
  </fonts>
  <fills count="2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56">
    <xf numFmtId="0" fontId="0" fillId="0" borderId="0"/>
    <xf numFmtId="0" fontId="28" fillId="0" borderId="1"/>
    <xf numFmtId="0" fontId="36" fillId="0" borderId="1"/>
    <xf numFmtId="0" fontId="37" fillId="0" borderId="1"/>
    <xf numFmtId="0" fontId="38" fillId="0" borderId="1"/>
    <xf numFmtId="0" fontId="36" fillId="0" borderId="1"/>
    <xf numFmtId="167" fontId="36" fillId="0" borderId="1" applyFont="0" applyFill="0" applyBorder="0" applyAlignment="0" applyProtection="0"/>
    <xf numFmtId="0" fontId="25" fillId="0" borderId="1"/>
    <xf numFmtId="0" fontId="37" fillId="0" borderId="1"/>
    <xf numFmtId="0" fontId="37" fillId="0" borderId="1"/>
    <xf numFmtId="0" fontId="37" fillId="0" borderId="1"/>
    <xf numFmtId="0" fontId="39" fillId="5" borderId="1"/>
    <xf numFmtId="43" fontId="39" fillId="0" borderId="1" applyFont="0" applyFill="0" applyBorder="0" applyAlignment="0" applyProtection="0"/>
    <xf numFmtId="0" fontId="36" fillId="0" borderId="1"/>
    <xf numFmtId="0" fontId="38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43" fontId="42" fillId="0" borderId="1" applyFont="0" applyFill="0" applyBorder="0" applyAlignment="0" applyProtection="0"/>
    <xf numFmtId="3" fontId="39" fillId="0" borderId="1" applyFont="0" applyFill="0" applyBorder="0" applyAlignment="0" applyProtection="0"/>
    <xf numFmtId="171" fontId="39" fillId="0" borderId="1" applyFont="0" applyFill="0" applyBorder="0" applyAlignment="0" applyProtection="0"/>
    <xf numFmtId="0" fontId="39" fillId="0" borderId="1" applyFont="0" applyFill="0" applyBorder="0" applyAlignment="0" applyProtection="0"/>
    <xf numFmtId="2" fontId="39" fillId="0" borderId="1" applyFont="0" applyFill="0" applyBorder="0" applyAlignment="0" applyProtection="0"/>
    <xf numFmtId="0" fontId="45" fillId="0" borderId="28" applyNumberFormat="0" applyAlignment="0" applyProtection="0">
      <alignment horizontal="left" vertical="center"/>
    </xf>
    <xf numFmtId="0" fontId="45" fillId="0" borderId="4">
      <alignment horizontal="left" vertical="center"/>
    </xf>
    <xf numFmtId="0" fontId="44" fillId="0" borderId="1" applyNumberFormat="0" applyFill="0" applyBorder="0" applyAlignment="0" applyProtection="0"/>
    <xf numFmtId="0" fontId="45" fillId="0" borderId="1" applyNumberFormat="0" applyFill="0" applyBorder="0" applyAlignment="0" applyProtection="0"/>
    <xf numFmtId="0" fontId="41" fillId="0" borderId="1"/>
    <xf numFmtId="0" fontId="39" fillId="0" borderId="29" applyNumberFormat="0" applyFont="0" applyFill="0" applyAlignment="0" applyProtection="0"/>
    <xf numFmtId="40" fontId="46" fillId="0" borderId="1" applyFont="0" applyFill="0" applyBorder="0" applyAlignment="0" applyProtection="0"/>
    <xf numFmtId="38" fontId="46" fillId="0" borderId="1" applyFont="0" applyFill="0" applyBorder="0" applyAlignment="0" applyProtection="0"/>
    <xf numFmtId="0" fontId="46" fillId="0" borderId="1" applyFont="0" applyFill="0" applyBorder="0" applyAlignment="0" applyProtection="0"/>
    <xf numFmtId="0" fontId="46" fillId="0" borderId="1" applyFont="0" applyFill="0" applyBorder="0" applyAlignment="0" applyProtection="0"/>
    <xf numFmtId="0" fontId="47" fillId="0" borderId="1"/>
    <xf numFmtId="172" fontId="39" fillId="0" borderId="1" applyFont="0" applyFill="0" applyBorder="0" applyAlignment="0" applyProtection="0"/>
    <xf numFmtId="173" fontId="39" fillId="0" borderId="1" applyFont="0" applyFill="0" applyBorder="0" applyAlignment="0" applyProtection="0"/>
    <xf numFmtId="170" fontId="48" fillId="0" borderId="1" applyFont="0" applyFill="0" applyBorder="0" applyAlignment="0" applyProtection="0"/>
    <xf numFmtId="169" fontId="48" fillId="0" borderId="1" applyFont="0" applyFill="0" applyBorder="0" applyAlignment="0" applyProtection="0"/>
    <xf numFmtId="0" fontId="49" fillId="0" borderId="1"/>
    <xf numFmtId="0" fontId="38" fillId="0" borderId="1"/>
    <xf numFmtId="0" fontId="36" fillId="0" borderId="1"/>
    <xf numFmtId="187" fontId="28" fillId="0" borderId="1" applyFont="0" applyFill="0" applyBorder="0" applyAlignment="0" applyProtection="0"/>
    <xf numFmtId="189" fontId="43" fillId="0" borderId="1" applyFont="0" applyFill="0" applyBorder="0" applyAlignment="0" applyProtection="0"/>
    <xf numFmtId="0" fontId="37" fillId="0" borderId="1"/>
    <xf numFmtId="0" fontId="37" fillId="0" borderId="1"/>
    <xf numFmtId="0" fontId="37" fillId="0" borderId="1"/>
    <xf numFmtId="179" fontId="28" fillId="0" borderId="1" applyFont="0" applyFill="0" applyBorder="0" applyAlignment="0" applyProtection="0"/>
    <xf numFmtId="0" fontId="50" fillId="0" borderId="1"/>
    <xf numFmtId="0" fontId="37" fillId="0" borderId="1"/>
    <xf numFmtId="0" fontId="37" fillId="0" borderId="1"/>
    <xf numFmtId="0" fontId="37" fillId="0" borderId="1"/>
    <xf numFmtId="0" fontId="67" fillId="0" borderId="1" applyFont="0" applyFill="0" applyBorder="0" applyAlignment="0" applyProtection="0"/>
    <xf numFmtId="0" fontId="39" fillId="0" borderId="1" applyNumberFormat="0" applyFill="0" applyBorder="0" applyAlignment="0" applyProtection="0"/>
    <xf numFmtId="175" fontId="52" fillId="0" borderId="1" applyFont="0" applyFill="0" applyBorder="0" applyAlignment="0" applyProtection="0"/>
    <xf numFmtId="174" fontId="52" fillId="0" borderId="1" applyFont="0" applyFill="0" applyBorder="0" applyAlignment="0" applyProtection="0"/>
    <xf numFmtId="41" fontId="68" fillId="0" borderId="1" applyFont="0" applyFill="0" applyBorder="0" applyAlignment="0" applyProtection="0"/>
    <xf numFmtId="9" fontId="69" fillId="0" borderId="1" applyFont="0" applyFill="0" applyBorder="0" applyAlignment="0" applyProtection="0"/>
    <xf numFmtId="0" fontId="67" fillId="0" borderId="1" applyFont="0" applyFill="0" applyBorder="0" applyAlignment="0" applyProtection="0"/>
    <xf numFmtId="0" fontId="53" fillId="0" borderId="1"/>
    <xf numFmtId="0" fontId="39" fillId="0" borderId="1" applyNumberFormat="0" applyFill="0" applyBorder="0" applyAlignment="0" applyProtection="0"/>
    <xf numFmtId="186" fontId="28" fillId="0" borderId="1" applyFont="0" applyFill="0" applyBorder="0" applyAlignment="0" applyProtection="0"/>
    <xf numFmtId="179" fontId="43" fillId="0" borderId="1" applyFont="0" applyFill="0" applyBorder="0" applyAlignment="0" applyProtection="0"/>
    <xf numFmtId="188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65" fontId="43" fillId="0" borderId="1" applyFont="0" applyFill="0" applyBorder="0" applyAlignment="0" applyProtection="0"/>
    <xf numFmtId="165" fontId="43" fillId="0" borderId="1" applyFont="0" applyFill="0" applyBorder="0" applyAlignment="0" applyProtection="0"/>
    <xf numFmtId="189" fontId="43" fillId="0" borderId="1" applyFont="0" applyFill="0" applyBorder="0" applyAlignment="0" applyProtection="0"/>
    <xf numFmtId="43" fontId="43" fillId="0" borderId="1" applyFont="0" applyFill="0" applyBorder="0" applyAlignment="0" applyProtection="0"/>
    <xf numFmtId="190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0" fontId="28" fillId="0" borderId="1" applyFont="0" applyFill="0" applyBorder="0" applyAlignment="0" applyProtection="0"/>
    <xf numFmtId="193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0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4" fontId="28" fillId="0" borderId="1" applyFont="0" applyFill="0" applyBorder="0" applyAlignment="0" applyProtection="0"/>
    <xf numFmtId="41" fontId="43" fillId="0" borderId="1" applyFont="0" applyFill="0" applyBorder="0" applyAlignment="0" applyProtection="0"/>
    <xf numFmtId="186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79" fontId="43" fillId="0" borderId="1" applyFont="0" applyFill="0" applyBorder="0" applyAlignment="0" applyProtection="0"/>
    <xf numFmtId="188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5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6" fontId="28" fillId="0" borderId="1" applyFont="0" applyFill="0" applyBorder="0" applyAlignment="0" applyProtection="0"/>
    <xf numFmtId="190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0" fontId="28" fillId="0" borderId="1" applyFont="0" applyFill="0" applyBorder="0" applyAlignment="0" applyProtection="0"/>
    <xf numFmtId="193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0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4" fontId="28" fillId="0" borderId="1" applyFont="0" applyFill="0" applyBorder="0" applyAlignment="0" applyProtection="0"/>
    <xf numFmtId="43" fontId="43" fillId="0" borderId="1" applyFont="0" applyFill="0" applyBorder="0" applyAlignment="0" applyProtection="0"/>
    <xf numFmtId="197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7" fontId="28" fillId="0" borderId="1" applyFont="0" applyFill="0" applyBorder="0" applyAlignment="0" applyProtection="0"/>
    <xf numFmtId="199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87" fontId="43" fillId="0" borderId="1" applyFont="0" applyFill="0" applyBorder="0" applyAlignment="0" applyProtection="0"/>
    <xf numFmtId="200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201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79" fontId="43" fillId="0" borderId="1" applyFont="0" applyFill="0" applyBorder="0" applyAlignment="0" applyProtection="0"/>
    <xf numFmtId="188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5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6" fontId="28" fillId="0" borderId="1" applyFont="0" applyFill="0" applyBorder="0" applyAlignment="0" applyProtection="0"/>
    <xf numFmtId="41" fontId="43" fillId="0" borderId="1" applyFont="0" applyFill="0" applyBorder="0" applyAlignment="0" applyProtection="0"/>
    <xf numFmtId="43" fontId="43" fillId="0" borderId="1" applyFont="0" applyFill="0" applyBorder="0" applyAlignment="0" applyProtection="0"/>
    <xf numFmtId="197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7" fontId="28" fillId="0" borderId="1" applyFont="0" applyFill="0" applyBorder="0" applyAlignment="0" applyProtection="0"/>
    <xf numFmtId="199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87" fontId="43" fillId="0" borderId="1" applyFont="0" applyFill="0" applyBorder="0" applyAlignment="0" applyProtection="0"/>
    <xf numFmtId="200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201" fontId="28" fillId="0" borderId="1" applyFont="0" applyFill="0" applyBorder="0" applyAlignment="0" applyProtection="0"/>
    <xf numFmtId="190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0" fontId="28" fillId="0" borderId="1" applyFont="0" applyFill="0" applyBorder="0" applyAlignment="0" applyProtection="0"/>
    <xf numFmtId="193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0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4" fontId="28" fillId="0" borderId="1" applyFont="0" applyFill="0" applyBorder="0" applyAlignment="0" applyProtection="0"/>
    <xf numFmtId="41" fontId="43" fillId="0" borderId="1" applyFont="0" applyFill="0" applyBorder="0" applyAlignment="0" applyProtection="0"/>
    <xf numFmtId="165" fontId="43" fillId="0" borderId="1" applyFont="0" applyFill="0" applyBorder="0" applyAlignment="0" applyProtection="0"/>
    <xf numFmtId="165" fontId="43" fillId="0" borderId="1" applyFont="0" applyFill="0" applyBorder="0" applyAlignment="0" applyProtection="0"/>
    <xf numFmtId="189" fontId="43" fillId="0" borderId="1" applyFont="0" applyFill="0" applyBorder="0" applyAlignment="0" applyProtection="0"/>
    <xf numFmtId="186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5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6" fontId="28" fillId="0" borderId="1" applyFont="0" applyFill="0" applyBorder="0" applyAlignment="0" applyProtection="0"/>
    <xf numFmtId="41" fontId="43" fillId="0" borderId="1" applyFont="0" applyFill="0" applyBorder="0" applyAlignment="0" applyProtection="0"/>
    <xf numFmtId="197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7" fontId="28" fillId="0" borderId="1" applyFont="0" applyFill="0" applyBorder="0" applyAlignment="0" applyProtection="0"/>
    <xf numFmtId="199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87" fontId="43" fillId="0" borderId="1" applyFont="0" applyFill="0" applyBorder="0" applyAlignment="0" applyProtection="0"/>
    <xf numFmtId="200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201" fontId="28" fillId="0" borderId="1" applyFont="0" applyFill="0" applyBorder="0" applyAlignment="0" applyProtection="0"/>
    <xf numFmtId="190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0" fontId="28" fillId="0" borderId="1" applyFont="0" applyFill="0" applyBorder="0" applyAlignment="0" applyProtection="0"/>
    <xf numFmtId="193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75" fontId="28" fillId="0" borderId="1" applyFont="0" applyFill="0" applyBorder="0" applyAlignment="0" applyProtection="0"/>
    <xf numFmtId="0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1" fontId="28" fillId="0" borderId="1" applyFont="0" applyFill="0" applyBorder="0" applyAlignment="0" applyProtection="0"/>
    <xf numFmtId="192" fontId="28" fillId="0" borderId="1" applyFont="0" applyFill="0" applyBorder="0" applyAlignment="0" applyProtection="0"/>
    <xf numFmtId="194" fontId="28" fillId="0" borderId="1" applyFont="0" applyFill="0" applyBorder="0" applyAlignment="0" applyProtection="0"/>
    <xf numFmtId="165" fontId="43" fillId="0" borderId="1" applyFont="0" applyFill="0" applyBorder="0" applyAlignment="0" applyProtection="0"/>
    <xf numFmtId="165" fontId="43" fillId="0" borderId="1" applyFont="0" applyFill="0" applyBorder="0" applyAlignment="0" applyProtection="0"/>
    <xf numFmtId="189" fontId="43" fillId="0" borderId="1" applyFont="0" applyFill="0" applyBorder="0" applyAlignment="0" applyProtection="0"/>
    <xf numFmtId="43" fontId="43" fillId="0" borderId="1" applyFont="0" applyFill="0" applyBorder="0" applyAlignment="0" applyProtection="0"/>
    <xf numFmtId="0" fontId="39" fillId="0" borderId="1"/>
    <xf numFmtId="9" fontId="70" fillId="0" borderId="1" applyBorder="0" applyAlignment="0" applyProtection="0"/>
    <xf numFmtId="202" fontId="39" fillId="0" borderId="1" applyFont="0" applyFill="0" applyBorder="0" applyAlignment="0" applyProtection="0"/>
    <xf numFmtId="0" fontId="54" fillId="0" borderId="1" applyFont="0" applyFill="0" applyBorder="0" applyAlignment="0" applyProtection="0"/>
    <xf numFmtId="203" fontId="39" fillId="0" borderId="1" applyFont="0" applyFill="0" applyBorder="0" applyAlignment="0" applyProtection="0"/>
    <xf numFmtId="0" fontId="54" fillId="0" borderId="1" applyFont="0" applyFill="0" applyBorder="0" applyAlignment="0" applyProtection="0"/>
    <xf numFmtId="204" fontId="71" fillId="0" borderId="1" applyFont="0" applyFill="0" applyBorder="0" applyAlignment="0" applyProtection="0"/>
    <xf numFmtId="174" fontId="71" fillId="0" borderId="1" applyFont="0" applyFill="0" applyBorder="0" applyAlignment="0" applyProtection="0"/>
    <xf numFmtId="0" fontId="54" fillId="0" borderId="1" applyFont="0" applyFill="0" applyBorder="0" applyAlignment="0" applyProtection="0"/>
    <xf numFmtId="174" fontId="71" fillId="0" borderId="1" applyFont="0" applyFill="0" applyBorder="0" applyAlignment="0" applyProtection="0"/>
    <xf numFmtId="175" fontId="71" fillId="0" borderId="1" applyFont="0" applyFill="0" applyBorder="0" applyAlignment="0" applyProtection="0"/>
    <xf numFmtId="0" fontId="54" fillId="0" borderId="1" applyFont="0" applyFill="0" applyBorder="0" applyAlignment="0" applyProtection="0"/>
    <xf numFmtId="175" fontId="71" fillId="0" borderId="1" applyFont="0" applyFill="0" applyBorder="0" applyAlignment="0" applyProtection="0"/>
    <xf numFmtId="165" fontId="43" fillId="0" borderId="1" applyFont="0" applyFill="0" applyBorder="0" applyAlignment="0" applyProtection="0"/>
    <xf numFmtId="0" fontId="54" fillId="0" borderId="1"/>
    <xf numFmtId="0" fontId="41" fillId="0" borderId="1"/>
    <xf numFmtId="0" fontId="54" fillId="0" borderId="1"/>
    <xf numFmtId="0" fontId="72" fillId="0" borderId="1"/>
    <xf numFmtId="0" fontId="55" fillId="0" borderId="1"/>
    <xf numFmtId="205" fontId="28" fillId="0" borderId="1" applyFont="0" applyFill="0" applyBorder="0" applyAlignment="0" applyProtection="0"/>
    <xf numFmtId="184" fontId="43" fillId="0" borderId="1" applyFont="0" applyFill="0" applyBorder="0" applyAlignment="0" applyProtection="0"/>
    <xf numFmtId="185" fontId="43" fillId="0" borderId="1" applyFont="0" applyFill="0" applyBorder="0" applyAlignment="0" applyProtection="0"/>
    <xf numFmtId="38" fontId="56" fillId="4" borderId="1" applyNumberFormat="0" applyBorder="0" applyAlignment="0" applyProtection="0"/>
    <xf numFmtId="182" fontId="40" fillId="6" borderId="1" applyBorder="0" applyProtection="0"/>
    <xf numFmtId="0" fontId="57" fillId="0" borderId="1">
      <alignment horizontal="left"/>
    </xf>
    <xf numFmtId="183" fontId="43" fillId="0" borderId="1">
      <protection locked="0"/>
    </xf>
    <xf numFmtId="183" fontId="43" fillId="0" borderId="1">
      <protection locked="0"/>
    </xf>
    <xf numFmtId="201" fontId="28" fillId="0" borderId="1" applyFont="0" applyFill="0" applyBorder="0" applyAlignment="0" applyProtection="0"/>
    <xf numFmtId="10" fontId="56" fillId="4" borderId="2" applyNumberFormat="0" applyBorder="0" applyAlignment="0" applyProtection="0"/>
    <xf numFmtId="0" fontId="58" fillId="0" borderId="26"/>
    <xf numFmtId="180" fontId="59" fillId="0" borderId="1"/>
    <xf numFmtId="181" fontId="60" fillId="0" borderId="1" applyFont="0" applyFill="0" applyBorder="0" applyProtection="0">
      <alignment vertical="top" wrapText="1"/>
    </xf>
    <xf numFmtId="0" fontId="39" fillId="0" borderId="1" applyFont="0" applyFill="0" applyBorder="0" applyAlignment="0" applyProtection="0"/>
    <xf numFmtId="0" fontId="41" fillId="0" borderId="1"/>
    <xf numFmtId="10" fontId="39" fillId="0" borderId="1" applyFont="0" applyFill="0" applyBorder="0" applyAlignment="0" applyProtection="0"/>
    <xf numFmtId="201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87" fontId="43" fillId="0" borderId="1" applyFont="0" applyFill="0" applyBorder="0" applyAlignment="0" applyProtection="0"/>
    <xf numFmtId="200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7" fontId="28" fillId="0" borderId="1" applyFont="0" applyFill="0" applyBorder="0" applyAlignment="0" applyProtection="0"/>
    <xf numFmtId="201" fontId="28" fillId="0" borderId="1" applyFont="0" applyFill="0" applyBorder="0" applyAlignment="0" applyProtection="0"/>
    <xf numFmtId="197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7" fontId="28" fillId="0" borderId="1" applyFont="0" applyFill="0" applyBorder="0" applyAlignment="0" applyProtection="0"/>
    <xf numFmtId="199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87" fontId="43" fillId="0" borderId="1" applyFont="0" applyFill="0" applyBorder="0" applyAlignment="0" applyProtection="0"/>
    <xf numFmtId="200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201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79" fontId="43" fillId="0" borderId="1" applyFont="0" applyFill="0" applyBorder="0" applyAlignment="0" applyProtection="0"/>
    <xf numFmtId="188" fontId="28" fillId="0" borderId="1" applyFont="0" applyFill="0" applyBorder="0" applyAlignment="0" applyProtection="0"/>
    <xf numFmtId="186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5" fontId="28" fillId="0" borderId="1" applyFont="0" applyFill="0" applyBorder="0" applyAlignment="0" applyProtection="0"/>
    <xf numFmtId="179" fontId="28" fillId="0" borderId="1" applyFont="0" applyFill="0" applyBorder="0" applyAlignment="0" applyProtection="0"/>
    <xf numFmtId="196" fontId="28" fillId="0" borderId="1" applyFont="0" applyFill="0" applyBorder="0" applyAlignment="0" applyProtection="0"/>
    <xf numFmtId="187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97" fontId="28" fillId="0" borderId="1" applyFont="0" applyFill="0" applyBorder="0" applyAlignment="0" applyProtection="0"/>
    <xf numFmtId="199" fontId="28" fillId="0" borderId="1" applyFont="0" applyFill="0" applyBorder="0" applyAlignment="0" applyProtection="0"/>
    <xf numFmtId="198" fontId="28" fillId="0" borderId="1" applyFont="0" applyFill="0" applyBorder="0" applyAlignment="0" applyProtection="0"/>
    <xf numFmtId="14" fontId="61" fillId="0" borderId="1"/>
    <xf numFmtId="0" fontId="58" fillId="0" borderId="1"/>
    <xf numFmtId="0" fontId="51" fillId="0" borderId="1"/>
    <xf numFmtId="178" fontId="62" fillId="0" borderId="3">
      <alignment horizontal="right" vertical="center"/>
    </xf>
    <xf numFmtId="179" fontId="62" fillId="0" borderId="3">
      <alignment horizontal="center"/>
    </xf>
    <xf numFmtId="181" fontId="63" fillId="0" borderId="1" applyNumberFormat="0" applyFill="0" applyBorder="0" applyProtection="0">
      <alignment horizontal="centerContinuous" vertical="center"/>
    </xf>
    <xf numFmtId="176" fontId="62" fillId="0" borderId="1"/>
    <xf numFmtId="177" fontId="62" fillId="0" borderId="2"/>
    <xf numFmtId="164" fontId="43" fillId="0" borderId="1" applyFont="0" applyFill="0" applyBorder="0" applyAlignment="0" applyProtection="0"/>
    <xf numFmtId="168" fontId="43" fillId="0" borderId="1" applyFont="0" applyFill="0" applyBorder="0" applyAlignment="0" applyProtection="0"/>
    <xf numFmtId="9" fontId="64" fillId="0" borderId="1" applyFont="0" applyFill="0" applyBorder="0" applyAlignment="0" applyProtection="0"/>
    <xf numFmtId="0" fontId="65" fillId="0" borderId="1"/>
    <xf numFmtId="41" fontId="65" fillId="0" borderId="1" applyFont="0" applyFill="0" applyBorder="0" applyAlignment="0" applyProtection="0"/>
    <xf numFmtId="43" fontId="65" fillId="0" borderId="1" applyFont="0" applyFill="0" applyBorder="0" applyAlignment="0" applyProtection="0"/>
    <xf numFmtId="165" fontId="65" fillId="0" borderId="1" applyFont="0" applyFill="0" applyBorder="0" applyAlignment="0" applyProtection="0"/>
    <xf numFmtId="165" fontId="66" fillId="0" borderId="1" applyFont="0" applyFill="0" applyBorder="0" applyAlignment="0" applyProtection="0"/>
    <xf numFmtId="166" fontId="65" fillId="0" borderId="1" applyFont="0" applyFill="0" applyBorder="0" applyAlignment="0" applyProtection="0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167" fontId="38" fillId="0" borderId="1" applyFont="0" applyFill="0" applyBorder="0" applyAlignment="0" applyProtection="0"/>
    <xf numFmtId="0" fontId="73" fillId="0" borderId="1"/>
    <xf numFmtId="0" fontId="39" fillId="0" borderId="1" applyFont="0" applyFill="0" applyBorder="0" applyAlignment="0" applyProtection="0"/>
    <xf numFmtId="0" fontId="39" fillId="0" borderId="1" applyFont="0" applyFill="0" applyBorder="0" applyAlignment="0" applyProtection="0"/>
    <xf numFmtId="0" fontId="74" fillId="7" borderId="1" applyNumberFormat="0" applyBorder="0" applyAlignment="0" applyProtection="0"/>
    <xf numFmtId="0" fontId="74" fillId="8" borderId="1" applyNumberFormat="0" applyBorder="0" applyAlignment="0" applyProtection="0"/>
    <xf numFmtId="0" fontId="74" fillId="9" borderId="1" applyNumberFormat="0" applyBorder="0" applyAlignment="0" applyProtection="0"/>
    <xf numFmtId="0" fontId="74" fillId="10" borderId="1" applyNumberFormat="0" applyBorder="0" applyAlignment="0" applyProtection="0"/>
    <xf numFmtId="0" fontId="74" fillId="11" borderId="1" applyNumberFormat="0" applyBorder="0" applyAlignment="0" applyProtection="0"/>
    <xf numFmtId="0" fontId="74" fillId="12" borderId="1" applyNumberFormat="0" applyBorder="0" applyAlignment="0" applyProtection="0"/>
    <xf numFmtId="0" fontId="74" fillId="13" borderId="1" applyNumberFormat="0" applyBorder="0" applyAlignment="0" applyProtection="0"/>
    <xf numFmtId="0" fontId="74" fillId="14" borderId="1" applyNumberFormat="0" applyBorder="0" applyAlignment="0" applyProtection="0"/>
    <xf numFmtId="0" fontId="74" fillId="15" borderId="1" applyNumberFormat="0" applyBorder="0" applyAlignment="0" applyProtection="0"/>
    <xf numFmtId="0" fontId="74" fillId="10" borderId="1" applyNumberFormat="0" applyBorder="0" applyAlignment="0" applyProtection="0"/>
    <xf numFmtId="0" fontId="74" fillId="13" borderId="1" applyNumberFormat="0" applyBorder="0" applyAlignment="0" applyProtection="0"/>
    <xf numFmtId="0" fontId="74" fillId="16" borderId="1" applyNumberFormat="0" applyBorder="0" applyAlignment="0" applyProtection="0"/>
    <xf numFmtId="0" fontId="75" fillId="17" borderId="1" applyNumberFormat="0" applyBorder="0" applyAlignment="0" applyProtection="0"/>
    <xf numFmtId="0" fontId="75" fillId="14" borderId="1" applyNumberFormat="0" applyBorder="0" applyAlignment="0" applyProtection="0"/>
    <xf numFmtId="0" fontId="75" fillId="15" borderId="1" applyNumberFormat="0" applyBorder="0" applyAlignment="0" applyProtection="0"/>
    <xf numFmtId="0" fontId="75" fillId="18" borderId="1" applyNumberFormat="0" applyBorder="0" applyAlignment="0" applyProtection="0"/>
    <xf numFmtId="0" fontId="75" fillId="19" borderId="1" applyNumberFormat="0" applyBorder="0" applyAlignment="0" applyProtection="0"/>
    <xf numFmtId="0" fontId="75" fillId="20" borderId="1" applyNumberFormat="0" applyBorder="0" applyAlignment="0" applyProtection="0"/>
    <xf numFmtId="0" fontId="75" fillId="21" borderId="1" applyNumberFormat="0" applyBorder="0" applyAlignment="0" applyProtection="0"/>
    <xf numFmtId="0" fontId="75" fillId="22" borderId="1" applyNumberFormat="0" applyBorder="0" applyAlignment="0" applyProtection="0"/>
    <xf numFmtId="0" fontId="75" fillId="23" borderId="1" applyNumberFormat="0" applyBorder="0" applyAlignment="0" applyProtection="0"/>
    <xf numFmtId="0" fontId="75" fillId="18" borderId="1" applyNumberFormat="0" applyBorder="0" applyAlignment="0" applyProtection="0"/>
    <xf numFmtId="0" fontId="75" fillId="19" borderId="1" applyNumberFormat="0" applyBorder="0" applyAlignment="0" applyProtection="0"/>
    <xf numFmtId="0" fontId="75" fillId="24" borderId="1" applyNumberFormat="0" applyBorder="0" applyAlignment="0" applyProtection="0"/>
    <xf numFmtId="0" fontId="76" fillId="8" borderId="1" applyNumberFormat="0" applyBorder="0" applyAlignment="0" applyProtection="0"/>
    <xf numFmtId="0" fontId="78" fillId="25" borderId="30" applyNumberFormat="0" applyAlignment="0" applyProtection="0"/>
    <xf numFmtId="0" fontId="79" fillId="26" borderId="31" applyNumberFormat="0" applyAlignment="0" applyProtection="0"/>
    <xf numFmtId="43" fontId="73" fillId="0" borderId="1" applyFont="0" applyFill="0" applyBorder="0" applyAlignment="0" applyProtection="0"/>
    <xf numFmtId="0" fontId="80" fillId="0" borderId="1" applyNumberFormat="0" applyFill="0" applyBorder="0" applyAlignment="0" applyProtection="0"/>
    <xf numFmtId="0" fontId="81" fillId="9" borderId="1" applyNumberFormat="0" applyBorder="0" applyAlignment="0" applyProtection="0"/>
    <xf numFmtId="0" fontId="82" fillId="0" borderId="32" applyNumberFormat="0" applyFill="0" applyAlignment="0" applyProtection="0"/>
    <xf numFmtId="0" fontId="83" fillId="0" borderId="33" applyNumberFormat="0" applyFill="0" applyAlignment="0" applyProtection="0"/>
    <xf numFmtId="0" fontId="84" fillId="0" borderId="34" applyNumberFormat="0" applyFill="0" applyAlignment="0" applyProtection="0"/>
    <xf numFmtId="0" fontId="84" fillId="0" borderId="1" applyNumberFormat="0" applyFill="0" applyBorder="0" applyAlignment="0" applyProtection="0"/>
    <xf numFmtId="0" fontId="85" fillId="12" borderId="30" applyNumberFormat="0" applyAlignment="0" applyProtection="0"/>
    <xf numFmtId="0" fontId="86" fillId="0" borderId="35" applyNumberFormat="0" applyFill="0" applyAlignment="0" applyProtection="0"/>
    <xf numFmtId="0" fontId="87" fillId="27" borderId="1" applyNumberFormat="0" applyBorder="0" applyAlignment="0" applyProtection="0"/>
    <xf numFmtId="0" fontId="77" fillId="0" borderId="1"/>
    <xf numFmtId="0" fontId="92" fillId="0" borderId="1"/>
    <xf numFmtId="0" fontId="39" fillId="28" borderId="36" applyNumberFormat="0" applyFont="0" applyAlignment="0" applyProtection="0"/>
    <xf numFmtId="0" fontId="88" fillId="25" borderId="37" applyNumberFormat="0" applyAlignment="0" applyProtection="0"/>
    <xf numFmtId="0" fontId="89" fillId="0" borderId="1" applyNumberFormat="0" applyFill="0" applyBorder="0" applyAlignment="0" applyProtection="0"/>
    <xf numFmtId="0" fontId="90" fillId="0" borderId="38" applyNumberFormat="0" applyFill="0" applyAlignment="0" applyProtection="0"/>
    <xf numFmtId="0" fontId="91" fillId="0" borderId="1" applyNumberFormat="0" applyFill="0" applyBorder="0" applyAlignment="0" applyProtection="0"/>
    <xf numFmtId="0" fontId="39" fillId="0" borderId="1"/>
    <xf numFmtId="0" fontId="39" fillId="0" borderId="1"/>
    <xf numFmtId="0" fontId="73" fillId="0" borderId="1"/>
    <xf numFmtId="0" fontId="85" fillId="12" borderId="30" applyNumberFormat="0" applyAlignment="0" applyProtection="0"/>
    <xf numFmtId="0" fontId="73" fillId="0" borderId="1"/>
    <xf numFmtId="0" fontId="85" fillId="12" borderId="30" applyNumberFormat="0" applyAlignment="0" applyProtection="0"/>
    <xf numFmtId="0" fontId="92" fillId="0" borderId="1"/>
    <xf numFmtId="0" fontId="37" fillId="0" borderId="1"/>
    <xf numFmtId="0" fontId="93" fillId="0" borderId="1"/>
    <xf numFmtId="0" fontId="93" fillId="0" borderId="1"/>
    <xf numFmtId="0" fontId="85" fillId="12" borderId="30" applyNumberFormat="0" applyAlignment="0" applyProtection="0"/>
    <xf numFmtId="0" fontId="73" fillId="0" borderId="1"/>
    <xf numFmtId="0" fontId="36" fillId="0" borderId="1"/>
    <xf numFmtId="167" fontId="36" fillId="0" borderId="1" applyFont="0" applyFill="0" applyBorder="0" applyAlignment="0" applyProtection="0"/>
    <xf numFmtId="0" fontId="36" fillId="0" borderId="1"/>
    <xf numFmtId="0" fontId="36" fillId="0" borderId="1"/>
    <xf numFmtId="0" fontId="36" fillId="0" borderId="1"/>
    <xf numFmtId="167" fontId="36" fillId="0" borderId="1" applyFont="0" applyFill="0" applyBorder="0" applyAlignment="0" applyProtection="0"/>
    <xf numFmtId="0" fontId="36" fillId="0" borderId="1"/>
    <xf numFmtId="0" fontId="36" fillId="0" borderId="1"/>
    <xf numFmtId="0" fontId="37" fillId="0" borderId="1"/>
    <xf numFmtId="0" fontId="85" fillId="12" borderId="30" applyNumberFormat="0" applyAlignment="0" applyProtection="0"/>
    <xf numFmtId="0" fontId="85" fillId="12" borderId="30" applyNumberFormat="0" applyAlignment="0" applyProtection="0"/>
    <xf numFmtId="0" fontId="90" fillId="0" borderId="38" applyNumberFormat="0" applyFill="0" applyAlignment="0" applyProtection="0"/>
    <xf numFmtId="0" fontId="88" fillId="25" borderId="37" applyNumberFormat="0" applyAlignment="0" applyProtection="0"/>
    <xf numFmtId="0" fontId="39" fillId="28" borderId="36" applyNumberFormat="0" applyFont="0" applyAlignment="0" applyProtection="0"/>
    <xf numFmtId="0" fontId="85" fillId="12" borderId="30" applyNumberFormat="0" applyAlignment="0" applyProtection="0"/>
    <xf numFmtId="0" fontId="78" fillId="25" borderId="30" applyNumberFormat="0" applyAlignment="0" applyProtection="0"/>
    <xf numFmtId="177" fontId="62" fillId="0" borderId="2"/>
    <xf numFmtId="179" fontId="62" fillId="0" borderId="3">
      <alignment horizontal="center"/>
    </xf>
    <xf numFmtId="178" fontId="62" fillId="0" borderId="3">
      <alignment horizontal="right" vertical="center"/>
    </xf>
    <xf numFmtId="10" fontId="56" fillId="4" borderId="2" applyNumberFormat="0" applyBorder="0" applyAlignment="0" applyProtection="0"/>
    <xf numFmtId="0" fontId="45" fillId="0" borderId="4">
      <alignment horizontal="left" vertical="center"/>
    </xf>
    <xf numFmtId="0" fontId="37" fillId="0" borderId="1"/>
    <xf numFmtId="0" fontId="85" fillId="12" borderId="30" applyNumberFormat="0" applyAlignment="0" applyProtection="0"/>
    <xf numFmtId="0" fontId="36" fillId="0" borderId="1"/>
    <xf numFmtId="0" fontId="45" fillId="0" borderId="89">
      <alignment horizontal="left" vertical="center"/>
    </xf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10" fontId="56" fillId="4" borderId="144" applyNumberFormat="0" applyBorder="0" applyAlignment="0" applyProtection="0"/>
    <xf numFmtId="179" fontId="62" fillId="0" borderId="90">
      <alignment horizontal="center"/>
    </xf>
    <xf numFmtId="0" fontId="36" fillId="0" borderId="1"/>
    <xf numFmtId="0" fontId="90" fillId="0" borderId="94" applyNumberFormat="0" applyFill="0" applyAlignment="0" applyProtection="0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90" fillId="0" borderId="150" applyNumberFormat="0" applyFill="0" applyAlignment="0" applyProtection="0"/>
    <xf numFmtId="0" fontId="36" fillId="0" borderId="1"/>
    <xf numFmtId="0" fontId="78" fillId="25" borderId="91" applyNumberFormat="0" applyAlignment="0" applyProtection="0"/>
    <xf numFmtId="0" fontId="36" fillId="0" borderId="1"/>
    <xf numFmtId="0" fontId="36" fillId="0" borderId="1"/>
    <xf numFmtId="0" fontId="78" fillId="25" borderId="147" applyNumberFormat="0" applyAlignment="0" applyProtection="0"/>
    <xf numFmtId="179" fontId="62" fillId="0" borderId="146">
      <alignment horizontal="center"/>
    </xf>
    <xf numFmtId="0" fontId="85" fillId="12" borderId="147" applyNumberFormat="0" applyAlignment="0" applyProtection="0"/>
    <xf numFmtId="0" fontId="39" fillId="28" borderId="148" applyNumberFormat="0" applyFont="0" applyAlignment="0" applyProtection="0"/>
    <xf numFmtId="0" fontId="85" fillId="12" borderId="91" applyNumberFormat="0" applyAlignment="0" applyProtection="0"/>
    <xf numFmtId="0" fontId="45" fillId="0" borderId="145">
      <alignment horizontal="left" vertical="center"/>
    </xf>
    <xf numFmtId="177" fontId="62" fillId="0" borderId="144"/>
    <xf numFmtId="0" fontId="36" fillId="0" borderId="1"/>
    <xf numFmtId="178" fontId="62" fillId="0" borderId="146">
      <alignment horizontal="right" vertical="center"/>
    </xf>
    <xf numFmtId="0" fontId="36" fillId="0" borderId="1"/>
    <xf numFmtId="0" fontId="36" fillId="0" borderId="1"/>
    <xf numFmtId="0" fontId="88" fillId="25" borderId="149" applyNumberFormat="0" applyAlignment="0" applyProtection="0"/>
    <xf numFmtId="0" fontId="36" fillId="0" borderId="1"/>
    <xf numFmtId="0" fontId="36" fillId="0" borderId="1"/>
    <xf numFmtId="0" fontId="36" fillId="0" borderId="1"/>
    <xf numFmtId="0" fontId="36" fillId="0" borderId="1"/>
    <xf numFmtId="177" fontId="62" fillId="0" borderId="88"/>
    <xf numFmtId="0" fontId="36" fillId="0" borderId="1"/>
    <xf numFmtId="0" fontId="36" fillId="0" borderId="1"/>
    <xf numFmtId="0" fontId="36" fillId="0" borderId="1"/>
    <xf numFmtId="0" fontId="85" fillId="12" borderId="147" applyNumberFormat="0" applyAlignment="0" applyProtection="0"/>
    <xf numFmtId="0" fontId="39" fillId="28" borderId="92" applyNumberFormat="0" applyFont="0" applyAlignment="0" applyProtection="0"/>
    <xf numFmtId="178" fontId="62" fillId="0" borderId="90">
      <alignment horizontal="right" vertical="center"/>
    </xf>
    <xf numFmtId="0" fontId="88" fillId="25" borderId="93" applyNumberFormat="0" applyAlignment="0" applyProtection="0"/>
    <xf numFmtId="0" fontId="85" fillId="12" borderId="91" applyNumberFormat="0" applyAlignment="0" applyProtection="0"/>
    <xf numFmtId="0" fontId="85" fillId="12" borderId="147" applyNumberFormat="0" applyAlignment="0" applyProtection="0"/>
    <xf numFmtId="0" fontId="36" fillId="0" borderId="1"/>
    <xf numFmtId="0" fontId="36" fillId="0" borderId="1"/>
    <xf numFmtId="0" fontId="36" fillId="0" borderId="1"/>
    <xf numFmtId="10" fontId="56" fillId="4" borderId="88" applyNumberFormat="0" applyBorder="0" applyAlignment="0" applyProtection="0"/>
    <xf numFmtId="0" fontId="85" fillId="12" borderId="42" applyNumberFormat="0" applyAlignment="0" applyProtection="0"/>
    <xf numFmtId="0" fontId="85" fillId="12" borderId="42" applyNumberFormat="0" applyAlignment="0" applyProtection="0"/>
    <xf numFmtId="0" fontId="90" fillId="0" borderId="45" applyNumberFormat="0" applyFill="0" applyAlignment="0" applyProtection="0"/>
    <xf numFmtId="0" fontId="88" fillId="25" borderId="44" applyNumberFormat="0" applyAlignment="0" applyProtection="0"/>
    <xf numFmtId="0" fontId="39" fillId="28" borderId="43" applyNumberFormat="0" applyFont="0" applyAlignment="0" applyProtection="0"/>
    <xf numFmtId="0" fontId="85" fillId="12" borderId="42" applyNumberFormat="0" applyAlignment="0" applyProtection="0"/>
    <xf numFmtId="0" fontId="78" fillId="25" borderId="42" applyNumberFormat="0" applyAlignment="0" applyProtection="0"/>
    <xf numFmtId="177" fontId="62" fillId="0" borderId="39"/>
    <xf numFmtId="179" fontId="62" fillId="0" borderId="41">
      <alignment horizontal="center"/>
    </xf>
    <xf numFmtId="178" fontId="62" fillId="0" borderId="41">
      <alignment horizontal="right" vertical="center"/>
    </xf>
    <xf numFmtId="10" fontId="56" fillId="4" borderId="39" applyNumberFormat="0" applyBorder="0" applyAlignment="0" applyProtection="0"/>
    <xf numFmtId="0" fontId="45" fillId="0" borderId="40">
      <alignment horizontal="left" vertical="center"/>
    </xf>
    <xf numFmtId="0" fontId="85" fillId="12" borderId="42" applyNumberFormat="0" applyAlignment="0" applyProtection="0"/>
    <xf numFmtId="0" fontId="85" fillId="12" borderId="49" applyNumberFormat="0" applyAlignment="0" applyProtection="0"/>
    <xf numFmtId="0" fontId="85" fillId="12" borderId="49" applyNumberFormat="0" applyAlignment="0" applyProtection="0"/>
    <xf numFmtId="0" fontId="90" fillId="0" borderId="52" applyNumberFormat="0" applyFill="0" applyAlignment="0" applyProtection="0"/>
    <xf numFmtId="0" fontId="88" fillId="25" borderId="51" applyNumberFormat="0" applyAlignment="0" applyProtection="0"/>
    <xf numFmtId="0" fontId="39" fillId="28" borderId="50" applyNumberFormat="0" applyFont="0" applyAlignment="0" applyProtection="0"/>
    <xf numFmtId="0" fontId="85" fillId="12" borderId="49" applyNumberFormat="0" applyAlignment="0" applyProtection="0"/>
    <xf numFmtId="0" fontId="78" fillId="25" borderId="49" applyNumberFormat="0" applyAlignment="0" applyProtection="0"/>
    <xf numFmtId="177" fontId="62" fillId="0" borderId="46"/>
    <xf numFmtId="179" fontId="62" fillId="0" borderId="48">
      <alignment horizontal="center"/>
    </xf>
    <xf numFmtId="178" fontId="62" fillId="0" borderId="48">
      <alignment horizontal="right" vertical="center"/>
    </xf>
    <xf numFmtId="10" fontId="56" fillId="4" borderId="46" applyNumberFormat="0" applyBorder="0" applyAlignment="0" applyProtection="0"/>
    <xf numFmtId="0" fontId="45" fillId="0" borderId="47">
      <alignment horizontal="left" vertical="center"/>
    </xf>
    <xf numFmtId="0" fontId="85" fillId="12" borderId="49" applyNumberFormat="0" applyAlignment="0" applyProtection="0"/>
    <xf numFmtId="0" fontId="85" fillId="12" borderId="56" applyNumberFormat="0" applyAlignment="0" applyProtection="0"/>
    <xf numFmtId="0" fontId="85" fillId="12" borderId="56" applyNumberFormat="0" applyAlignment="0" applyProtection="0"/>
    <xf numFmtId="0" fontId="90" fillId="0" borderId="59" applyNumberFormat="0" applyFill="0" applyAlignment="0" applyProtection="0"/>
    <xf numFmtId="0" fontId="88" fillId="25" borderId="58" applyNumberFormat="0" applyAlignment="0" applyProtection="0"/>
    <xf numFmtId="0" fontId="39" fillId="28" borderId="57" applyNumberFormat="0" applyFont="0" applyAlignment="0" applyProtection="0"/>
    <xf numFmtId="0" fontId="85" fillId="12" borderId="56" applyNumberFormat="0" applyAlignment="0" applyProtection="0"/>
    <xf numFmtId="0" fontId="78" fillId="25" borderId="56" applyNumberFormat="0" applyAlignment="0" applyProtection="0"/>
    <xf numFmtId="177" fontId="62" fillId="0" borderId="53"/>
    <xf numFmtId="179" fontId="62" fillId="0" borderId="55">
      <alignment horizontal="center"/>
    </xf>
    <xf numFmtId="178" fontId="62" fillId="0" borderId="55">
      <alignment horizontal="right" vertical="center"/>
    </xf>
    <xf numFmtId="10" fontId="56" fillId="4" borderId="53" applyNumberFormat="0" applyBorder="0" applyAlignment="0" applyProtection="0"/>
    <xf numFmtId="0" fontId="45" fillId="0" borderId="54">
      <alignment horizontal="left" vertical="center"/>
    </xf>
    <xf numFmtId="0" fontId="85" fillId="12" borderId="56" applyNumberFormat="0" applyAlignment="0" applyProtection="0"/>
    <xf numFmtId="0" fontId="85" fillId="12" borderId="91" applyNumberFormat="0" applyAlignment="0" applyProtection="0"/>
    <xf numFmtId="0" fontId="85" fillId="12" borderId="63" applyNumberFormat="0" applyAlignment="0" applyProtection="0"/>
    <xf numFmtId="0" fontId="85" fillId="12" borderId="63" applyNumberFormat="0" applyAlignment="0" applyProtection="0"/>
    <xf numFmtId="0" fontId="90" fillId="0" borderId="66" applyNumberFormat="0" applyFill="0" applyAlignment="0" applyProtection="0"/>
    <xf numFmtId="0" fontId="88" fillId="25" borderId="65" applyNumberFormat="0" applyAlignment="0" applyProtection="0"/>
    <xf numFmtId="0" fontId="39" fillId="28" borderId="64" applyNumberFormat="0" applyFont="0" applyAlignment="0" applyProtection="0"/>
    <xf numFmtId="0" fontId="85" fillId="12" borderId="63" applyNumberFormat="0" applyAlignment="0" applyProtection="0"/>
    <xf numFmtId="0" fontId="78" fillId="25" borderId="63" applyNumberFormat="0" applyAlignment="0" applyProtection="0"/>
    <xf numFmtId="177" fontId="62" fillId="0" borderId="60"/>
    <xf numFmtId="179" fontId="62" fillId="0" borderId="62">
      <alignment horizontal="center"/>
    </xf>
    <xf numFmtId="178" fontId="62" fillId="0" borderId="62">
      <alignment horizontal="right" vertical="center"/>
    </xf>
    <xf numFmtId="10" fontId="56" fillId="4" borderId="60" applyNumberFormat="0" applyBorder="0" applyAlignment="0" applyProtection="0"/>
    <xf numFmtId="0" fontId="45" fillId="0" borderId="61">
      <alignment horizontal="left" vertical="center"/>
    </xf>
    <xf numFmtId="0" fontId="85" fillId="12" borderId="63" applyNumberFormat="0" applyAlignment="0" applyProtection="0"/>
    <xf numFmtId="0" fontId="85" fillId="12" borderId="70" applyNumberFormat="0" applyAlignment="0" applyProtection="0"/>
    <xf numFmtId="0" fontId="85" fillId="12" borderId="70" applyNumberFormat="0" applyAlignment="0" applyProtection="0"/>
    <xf numFmtId="0" fontId="90" fillId="0" borderId="73" applyNumberFormat="0" applyFill="0" applyAlignment="0" applyProtection="0"/>
    <xf numFmtId="0" fontId="88" fillId="25" borderId="72" applyNumberFormat="0" applyAlignment="0" applyProtection="0"/>
    <xf numFmtId="0" fontId="39" fillId="28" borderId="71" applyNumberFormat="0" applyFont="0" applyAlignment="0" applyProtection="0"/>
    <xf numFmtId="0" fontId="85" fillId="12" borderId="70" applyNumberFormat="0" applyAlignment="0" applyProtection="0"/>
    <xf numFmtId="0" fontId="78" fillId="25" borderId="70" applyNumberFormat="0" applyAlignment="0" applyProtection="0"/>
    <xf numFmtId="177" fontId="62" fillId="0" borderId="67"/>
    <xf numFmtId="179" fontId="62" fillId="0" borderId="69">
      <alignment horizontal="center"/>
    </xf>
    <xf numFmtId="178" fontId="62" fillId="0" borderId="69">
      <alignment horizontal="right" vertical="center"/>
    </xf>
    <xf numFmtId="10" fontId="56" fillId="4" borderId="67" applyNumberFormat="0" applyBorder="0" applyAlignment="0" applyProtection="0"/>
    <xf numFmtId="0" fontId="45" fillId="0" borderId="68">
      <alignment horizontal="left" vertical="center"/>
    </xf>
    <xf numFmtId="0" fontId="85" fillId="12" borderId="70" applyNumberFormat="0" applyAlignment="0" applyProtection="0"/>
    <xf numFmtId="0" fontId="85" fillId="12" borderId="77" applyNumberFormat="0" applyAlignment="0" applyProtection="0"/>
    <xf numFmtId="0" fontId="85" fillId="12" borderId="77" applyNumberFormat="0" applyAlignment="0" applyProtection="0"/>
    <xf numFmtId="0" fontId="90" fillId="0" borderId="80" applyNumberFormat="0" applyFill="0" applyAlignment="0" applyProtection="0"/>
    <xf numFmtId="0" fontId="88" fillId="25" borderId="79" applyNumberFormat="0" applyAlignment="0" applyProtection="0"/>
    <xf numFmtId="0" fontId="39" fillId="28" borderId="78" applyNumberFormat="0" applyFont="0" applyAlignment="0" applyProtection="0"/>
    <xf numFmtId="0" fontId="85" fillId="12" borderId="77" applyNumberFormat="0" applyAlignment="0" applyProtection="0"/>
    <xf numFmtId="0" fontId="78" fillId="25" borderId="77" applyNumberFormat="0" applyAlignment="0" applyProtection="0"/>
    <xf numFmtId="177" fontId="62" fillId="0" borderId="74"/>
    <xf numFmtId="179" fontId="62" fillId="0" borderId="76">
      <alignment horizontal="center"/>
    </xf>
    <xf numFmtId="178" fontId="62" fillId="0" borderId="76">
      <alignment horizontal="right" vertical="center"/>
    </xf>
    <xf numFmtId="10" fontId="56" fillId="4" borderId="74" applyNumberFormat="0" applyBorder="0" applyAlignment="0" applyProtection="0"/>
    <xf numFmtId="0" fontId="45" fillId="0" borderId="75">
      <alignment horizontal="left" vertical="center"/>
    </xf>
    <xf numFmtId="0" fontId="36" fillId="0" borderId="1"/>
    <xf numFmtId="0" fontId="85" fillId="12" borderId="77" applyNumberFormat="0" applyAlignment="0" applyProtection="0"/>
    <xf numFmtId="0" fontId="36" fillId="0" borderId="1"/>
    <xf numFmtId="0" fontId="85" fillId="12" borderId="84" applyNumberFormat="0" applyAlignment="0" applyProtection="0"/>
    <xf numFmtId="0" fontId="85" fillId="12" borderId="84" applyNumberFormat="0" applyAlignment="0" applyProtection="0"/>
    <xf numFmtId="0" fontId="90" fillId="0" borderId="87" applyNumberFormat="0" applyFill="0" applyAlignment="0" applyProtection="0"/>
    <xf numFmtId="0" fontId="88" fillId="25" borderId="86" applyNumberFormat="0" applyAlignment="0" applyProtection="0"/>
    <xf numFmtId="0" fontId="39" fillId="28" borderId="85" applyNumberFormat="0" applyFont="0" applyAlignment="0" applyProtection="0"/>
    <xf numFmtId="0" fontId="85" fillId="12" borderId="84" applyNumberFormat="0" applyAlignment="0" applyProtection="0"/>
    <xf numFmtId="0" fontId="78" fillId="25" borderId="84" applyNumberFormat="0" applyAlignment="0" applyProtection="0"/>
    <xf numFmtId="177" fontId="62" fillId="0" borderId="81"/>
    <xf numFmtId="179" fontId="62" fillId="0" borderId="83">
      <alignment horizontal="center"/>
    </xf>
    <xf numFmtId="178" fontId="62" fillId="0" borderId="83">
      <alignment horizontal="right" vertical="center"/>
    </xf>
    <xf numFmtId="10" fontId="56" fillId="4" borderId="81" applyNumberFormat="0" applyBorder="0" applyAlignment="0" applyProtection="0"/>
    <xf numFmtId="0" fontId="45" fillId="0" borderId="82">
      <alignment horizontal="left" vertical="center"/>
    </xf>
    <xf numFmtId="0" fontId="85" fillId="12" borderId="84" applyNumberFormat="0" applyAlignment="0" applyProtection="0"/>
    <xf numFmtId="0" fontId="85" fillId="12" borderId="91" applyNumberFormat="0" applyAlignment="0" applyProtection="0"/>
    <xf numFmtId="0" fontId="85" fillId="12" borderId="98" applyNumberFormat="0" applyAlignment="0" applyProtection="0"/>
    <xf numFmtId="0" fontId="85" fillId="12" borderId="98" applyNumberFormat="0" applyAlignment="0" applyProtection="0"/>
    <xf numFmtId="0" fontId="90" fillId="0" borderId="101" applyNumberFormat="0" applyFill="0" applyAlignment="0" applyProtection="0"/>
    <xf numFmtId="0" fontId="88" fillId="25" borderId="100" applyNumberFormat="0" applyAlignment="0" applyProtection="0"/>
    <xf numFmtId="0" fontId="39" fillId="28" borderId="99" applyNumberFormat="0" applyFont="0" applyAlignment="0" applyProtection="0"/>
    <xf numFmtId="0" fontId="85" fillId="12" borderId="98" applyNumberFormat="0" applyAlignment="0" applyProtection="0"/>
    <xf numFmtId="0" fontId="78" fillId="25" borderId="98" applyNumberFormat="0" applyAlignment="0" applyProtection="0"/>
    <xf numFmtId="177" fontId="62" fillId="0" borderId="95"/>
    <xf numFmtId="179" fontId="62" fillId="0" borderId="97">
      <alignment horizontal="center"/>
    </xf>
    <xf numFmtId="178" fontId="62" fillId="0" borderId="97">
      <alignment horizontal="right" vertical="center"/>
    </xf>
    <xf numFmtId="10" fontId="56" fillId="4" borderId="95" applyNumberFormat="0" applyBorder="0" applyAlignment="0" applyProtection="0"/>
    <xf numFmtId="0" fontId="45" fillId="0" borderId="96">
      <alignment horizontal="left" vertical="center"/>
    </xf>
    <xf numFmtId="0" fontId="85" fillId="12" borderId="98" applyNumberFormat="0" applyAlignment="0" applyProtection="0"/>
    <xf numFmtId="0" fontId="85" fillId="12" borderId="105" applyNumberFormat="0" applyAlignment="0" applyProtection="0"/>
    <xf numFmtId="0" fontId="85" fillId="12" borderId="105" applyNumberFormat="0" applyAlignment="0" applyProtection="0"/>
    <xf numFmtId="0" fontId="90" fillId="0" borderId="108" applyNumberFormat="0" applyFill="0" applyAlignment="0" applyProtection="0"/>
    <xf numFmtId="0" fontId="88" fillId="25" borderId="107" applyNumberFormat="0" applyAlignment="0" applyProtection="0"/>
    <xf numFmtId="0" fontId="39" fillId="28" borderId="106" applyNumberFormat="0" applyFont="0" applyAlignment="0" applyProtection="0"/>
    <xf numFmtId="0" fontId="85" fillId="12" borderId="105" applyNumberFormat="0" applyAlignment="0" applyProtection="0"/>
    <xf numFmtId="0" fontId="78" fillId="25" borderId="105" applyNumberFormat="0" applyAlignment="0" applyProtection="0"/>
    <xf numFmtId="177" fontId="62" fillId="0" borderId="102"/>
    <xf numFmtId="179" fontId="62" fillId="0" borderId="104">
      <alignment horizontal="center"/>
    </xf>
    <xf numFmtId="178" fontId="62" fillId="0" borderId="104">
      <alignment horizontal="right" vertical="center"/>
    </xf>
    <xf numFmtId="10" fontId="56" fillId="4" borderId="102" applyNumberFormat="0" applyBorder="0" applyAlignment="0" applyProtection="0"/>
    <xf numFmtId="0" fontId="45" fillId="0" borderId="103">
      <alignment horizontal="left" vertical="center"/>
    </xf>
    <xf numFmtId="0" fontId="85" fillId="12" borderId="105" applyNumberFormat="0" applyAlignment="0" applyProtection="0"/>
    <xf numFmtId="0" fontId="85" fillId="12" borderId="112" applyNumberFormat="0" applyAlignment="0" applyProtection="0"/>
    <xf numFmtId="0" fontId="85" fillId="12" borderId="112" applyNumberFormat="0" applyAlignment="0" applyProtection="0"/>
    <xf numFmtId="0" fontId="90" fillId="0" borderId="115" applyNumberFormat="0" applyFill="0" applyAlignment="0" applyProtection="0"/>
    <xf numFmtId="0" fontId="88" fillId="25" borderId="114" applyNumberFormat="0" applyAlignment="0" applyProtection="0"/>
    <xf numFmtId="0" fontId="39" fillId="28" borderId="113" applyNumberFormat="0" applyFont="0" applyAlignment="0" applyProtection="0"/>
    <xf numFmtId="0" fontId="85" fillId="12" borderId="112" applyNumberFormat="0" applyAlignment="0" applyProtection="0"/>
    <xf numFmtId="0" fontId="78" fillId="25" borderId="112" applyNumberFormat="0" applyAlignment="0" applyProtection="0"/>
    <xf numFmtId="177" fontId="62" fillId="0" borderId="109"/>
    <xf numFmtId="179" fontId="62" fillId="0" borderId="111">
      <alignment horizontal="center"/>
    </xf>
    <xf numFmtId="178" fontId="62" fillId="0" borderId="111">
      <alignment horizontal="right" vertical="center"/>
    </xf>
    <xf numFmtId="10" fontId="56" fillId="4" borderId="109" applyNumberFormat="0" applyBorder="0" applyAlignment="0" applyProtection="0"/>
    <xf numFmtId="0" fontId="45" fillId="0" borderId="110">
      <alignment horizontal="left" vertical="center"/>
    </xf>
    <xf numFmtId="0" fontId="85" fillId="12" borderId="112" applyNumberFormat="0" applyAlignment="0" applyProtection="0"/>
    <xf numFmtId="0" fontId="85" fillId="12" borderId="119" applyNumberFormat="0" applyAlignment="0" applyProtection="0"/>
    <xf numFmtId="0" fontId="85" fillId="12" borderId="119" applyNumberFormat="0" applyAlignment="0" applyProtection="0"/>
    <xf numFmtId="0" fontId="90" fillId="0" borderId="122" applyNumberFormat="0" applyFill="0" applyAlignment="0" applyProtection="0"/>
    <xf numFmtId="0" fontId="88" fillId="25" borderId="121" applyNumberFormat="0" applyAlignment="0" applyProtection="0"/>
    <xf numFmtId="0" fontId="39" fillId="28" borderId="120" applyNumberFormat="0" applyFont="0" applyAlignment="0" applyProtection="0"/>
    <xf numFmtId="0" fontId="85" fillId="12" borderId="119" applyNumberFormat="0" applyAlignment="0" applyProtection="0"/>
    <xf numFmtId="0" fontId="78" fillId="25" borderId="119" applyNumberFormat="0" applyAlignment="0" applyProtection="0"/>
    <xf numFmtId="177" fontId="62" fillId="0" borderId="116"/>
    <xf numFmtId="179" fontId="62" fillId="0" borderId="118">
      <alignment horizontal="center"/>
    </xf>
    <xf numFmtId="178" fontId="62" fillId="0" borderId="118">
      <alignment horizontal="right" vertical="center"/>
    </xf>
    <xf numFmtId="10" fontId="56" fillId="4" borderId="116" applyNumberFormat="0" applyBorder="0" applyAlignment="0" applyProtection="0"/>
    <xf numFmtId="0" fontId="45" fillId="0" borderId="117">
      <alignment horizontal="left" vertical="center"/>
    </xf>
    <xf numFmtId="0" fontId="85" fillId="12" borderId="119" applyNumberFormat="0" applyAlignment="0" applyProtection="0"/>
    <xf numFmtId="0" fontId="85" fillId="12" borderId="126" applyNumberFormat="0" applyAlignment="0" applyProtection="0"/>
    <xf numFmtId="0" fontId="85" fillId="12" borderId="126" applyNumberFormat="0" applyAlignment="0" applyProtection="0"/>
    <xf numFmtId="0" fontId="90" fillId="0" borderId="129" applyNumberFormat="0" applyFill="0" applyAlignment="0" applyProtection="0"/>
    <xf numFmtId="0" fontId="88" fillId="25" borderId="128" applyNumberFormat="0" applyAlignment="0" applyProtection="0"/>
    <xf numFmtId="0" fontId="39" fillId="28" borderId="127" applyNumberFormat="0" applyFont="0" applyAlignment="0" applyProtection="0"/>
    <xf numFmtId="0" fontId="85" fillId="12" borderId="126" applyNumberFormat="0" applyAlignment="0" applyProtection="0"/>
    <xf numFmtId="0" fontId="78" fillId="25" borderId="126" applyNumberFormat="0" applyAlignment="0" applyProtection="0"/>
    <xf numFmtId="177" fontId="62" fillId="0" borderId="123"/>
    <xf numFmtId="179" fontId="62" fillId="0" borderId="125">
      <alignment horizontal="center"/>
    </xf>
    <xf numFmtId="178" fontId="62" fillId="0" borderId="125">
      <alignment horizontal="right" vertical="center"/>
    </xf>
    <xf numFmtId="10" fontId="56" fillId="4" borderId="123" applyNumberFormat="0" applyBorder="0" applyAlignment="0" applyProtection="0"/>
    <xf numFmtId="0" fontId="45" fillId="0" borderId="124">
      <alignment horizontal="left" vertical="center"/>
    </xf>
    <xf numFmtId="0" fontId="85" fillId="12" borderId="126" applyNumberFormat="0" applyAlignment="0" applyProtection="0"/>
    <xf numFmtId="0" fontId="85" fillId="12" borderId="133" applyNumberFormat="0" applyAlignment="0" applyProtection="0"/>
    <xf numFmtId="0" fontId="85" fillId="12" borderId="133" applyNumberFormat="0" applyAlignment="0" applyProtection="0"/>
    <xf numFmtId="0" fontId="90" fillId="0" borderId="136" applyNumberFormat="0" applyFill="0" applyAlignment="0" applyProtection="0"/>
    <xf numFmtId="0" fontId="88" fillId="25" borderId="135" applyNumberFormat="0" applyAlignment="0" applyProtection="0"/>
    <xf numFmtId="0" fontId="39" fillId="28" borderId="134" applyNumberFormat="0" applyFont="0" applyAlignment="0" applyProtection="0"/>
    <xf numFmtId="0" fontId="85" fillId="12" borderId="133" applyNumberFormat="0" applyAlignment="0" applyProtection="0"/>
    <xf numFmtId="0" fontId="78" fillId="25" borderId="133" applyNumberFormat="0" applyAlignment="0" applyProtection="0"/>
    <xf numFmtId="177" fontId="62" fillId="0" borderId="130"/>
    <xf numFmtId="179" fontId="62" fillId="0" borderId="132">
      <alignment horizontal="center"/>
    </xf>
    <xf numFmtId="178" fontId="62" fillId="0" borderId="132">
      <alignment horizontal="right" vertical="center"/>
    </xf>
    <xf numFmtId="10" fontId="56" fillId="4" borderId="130" applyNumberFormat="0" applyBorder="0" applyAlignment="0" applyProtection="0"/>
    <xf numFmtId="0" fontId="45" fillId="0" borderId="131">
      <alignment horizontal="left" vertical="center"/>
    </xf>
    <xf numFmtId="0" fontId="85" fillId="12" borderId="133" applyNumberFormat="0" applyAlignment="0" applyProtection="0"/>
    <xf numFmtId="0" fontId="85" fillId="12" borderId="140" applyNumberFormat="0" applyAlignment="0" applyProtection="0"/>
    <xf numFmtId="0" fontId="85" fillId="12" borderId="140" applyNumberFormat="0" applyAlignment="0" applyProtection="0"/>
    <xf numFmtId="0" fontId="90" fillId="0" borderId="143" applyNumberFormat="0" applyFill="0" applyAlignment="0" applyProtection="0"/>
    <xf numFmtId="0" fontId="88" fillId="25" borderId="142" applyNumberFormat="0" applyAlignment="0" applyProtection="0"/>
    <xf numFmtId="0" fontId="39" fillId="28" borderId="141" applyNumberFormat="0" applyFont="0" applyAlignment="0" applyProtection="0"/>
    <xf numFmtId="0" fontId="85" fillId="12" borderId="140" applyNumberFormat="0" applyAlignment="0" applyProtection="0"/>
    <xf numFmtId="0" fontId="78" fillId="25" borderId="140" applyNumberFormat="0" applyAlignment="0" applyProtection="0"/>
    <xf numFmtId="177" fontId="62" fillId="0" borderId="137"/>
    <xf numFmtId="179" fontId="62" fillId="0" borderId="139">
      <alignment horizontal="center"/>
    </xf>
    <xf numFmtId="178" fontId="62" fillId="0" borderId="139">
      <alignment horizontal="right" vertical="center"/>
    </xf>
    <xf numFmtId="10" fontId="56" fillId="4" borderId="137" applyNumberFormat="0" applyBorder="0" applyAlignment="0" applyProtection="0"/>
    <xf numFmtId="0" fontId="45" fillId="0" borderId="138">
      <alignment horizontal="left" vertical="center"/>
    </xf>
    <xf numFmtId="0" fontId="85" fillId="12" borderId="140" applyNumberFormat="0" applyAlignment="0" applyProtection="0"/>
    <xf numFmtId="0" fontId="85" fillId="12" borderId="147" applyNumberFormat="0" applyAlignment="0" applyProtection="0"/>
    <xf numFmtId="0" fontId="85" fillId="12" borderId="154" applyNumberFormat="0" applyAlignment="0" applyProtection="0"/>
    <xf numFmtId="0" fontId="85" fillId="12" borderId="154" applyNumberFormat="0" applyAlignment="0" applyProtection="0"/>
    <xf numFmtId="0" fontId="90" fillId="0" borderId="157" applyNumberFormat="0" applyFill="0" applyAlignment="0" applyProtection="0"/>
    <xf numFmtId="0" fontId="88" fillId="25" borderId="156" applyNumberFormat="0" applyAlignment="0" applyProtection="0"/>
    <xf numFmtId="0" fontId="39" fillId="28" borderId="155" applyNumberFormat="0" applyFont="0" applyAlignment="0" applyProtection="0"/>
    <xf numFmtId="0" fontId="85" fillId="12" borderId="154" applyNumberFormat="0" applyAlignment="0" applyProtection="0"/>
    <xf numFmtId="0" fontId="78" fillId="25" borderId="154" applyNumberFormat="0" applyAlignment="0" applyProtection="0"/>
    <xf numFmtId="177" fontId="62" fillId="0" borderId="151"/>
    <xf numFmtId="179" fontId="62" fillId="0" borderId="153">
      <alignment horizontal="center"/>
    </xf>
    <xf numFmtId="178" fontId="62" fillId="0" borderId="153">
      <alignment horizontal="right" vertical="center"/>
    </xf>
    <xf numFmtId="10" fontId="56" fillId="4" borderId="151" applyNumberFormat="0" applyBorder="0" applyAlignment="0" applyProtection="0"/>
    <xf numFmtId="0" fontId="45" fillId="0" borderId="152">
      <alignment horizontal="left" vertical="center"/>
    </xf>
    <xf numFmtId="0" fontId="85" fillId="12" borderId="154" applyNumberFormat="0" applyAlignment="0" applyProtection="0"/>
    <xf numFmtId="0" fontId="85" fillId="12" borderId="161" applyNumberFormat="0" applyAlignment="0" applyProtection="0"/>
    <xf numFmtId="0" fontId="85" fillId="12" borderId="161" applyNumberFormat="0" applyAlignment="0" applyProtection="0"/>
    <xf numFmtId="0" fontId="90" fillId="0" borderId="164" applyNumberFormat="0" applyFill="0" applyAlignment="0" applyProtection="0"/>
    <xf numFmtId="0" fontId="88" fillId="25" borderId="163" applyNumberFormat="0" applyAlignment="0" applyProtection="0"/>
    <xf numFmtId="0" fontId="39" fillId="28" borderId="162" applyNumberFormat="0" applyFont="0" applyAlignment="0" applyProtection="0"/>
    <xf numFmtId="0" fontId="85" fillId="12" borderId="161" applyNumberFormat="0" applyAlignment="0" applyProtection="0"/>
    <xf numFmtId="0" fontId="78" fillId="25" borderId="161" applyNumberFormat="0" applyAlignment="0" applyProtection="0"/>
    <xf numFmtId="177" fontId="62" fillId="0" borderId="158"/>
    <xf numFmtId="179" fontId="62" fillId="0" borderId="160">
      <alignment horizontal="center"/>
    </xf>
    <xf numFmtId="178" fontId="62" fillId="0" borderId="160">
      <alignment horizontal="right" vertical="center"/>
    </xf>
    <xf numFmtId="10" fontId="56" fillId="4" borderId="158" applyNumberFormat="0" applyBorder="0" applyAlignment="0" applyProtection="0"/>
    <xf numFmtId="0" fontId="45" fillId="0" borderId="159">
      <alignment horizontal="left" vertical="center"/>
    </xf>
    <xf numFmtId="0" fontId="85" fillId="12" borderId="161" applyNumberFormat="0" applyAlignment="0" applyProtection="0"/>
    <xf numFmtId="0" fontId="85" fillId="12" borderId="168" applyNumberFormat="0" applyAlignment="0" applyProtection="0"/>
    <xf numFmtId="0" fontId="85" fillId="12" borderId="168" applyNumberFormat="0" applyAlignment="0" applyProtection="0"/>
    <xf numFmtId="0" fontId="90" fillId="0" borderId="171" applyNumberFormat="0" applyFill="0" applyAlignment="0" applyProtection="0"/>
    <xf numFmtId="0" fontId="88" fillId="25" borderId="170" applyNumberFormat="0" applyAlignment="0" applyProtection="0"/>
    <xf numFmtId="0" fontId="39" fillId="28" borderId="169" applyNumberFormat="0" applyFont="0" applyAlignment="0" applyProtection="0"/>
    <xf numFmtId="0" fontId="85" fillId="12" borderId="168" applyNumberFormat="0" applyAlignment="0" applyProtection="0"/>
    <xf numFmtId="0" fontId="78" fillId="25" borderId="168" applyNumberFormat="0" applyAlignment="0" applyProtection="0"/>
    <xf numFmtId="177" fontId="62" fillId="0" borderId="165"/>
    <xf numFmtId="179" fontId="62" fillId="0" borderId="167">
      <alignment horizontal="center"/>
    </xf>
    <xf numFmtId="178" fontId="62" fillId="0" borderId="167">
      <alignment horizontal="right" vertical="center"/>
    </xf>
    <xf numFmtId="10" fontId="56" fillId="4" borderId="165" applyNumberFormat="0" applyBorder="0" applyAlignment="0" applyProtection="0"/>
    <xf numFmtId="0" fontId="45" fillId="0" borderId="166">
      <alignment horizontal="left" vertical="center"/>
    </xf>
    <xf numFmtId="0" fontId="85" fillId="12" borderId="168" applyNumberFormat="0" applyAlignment="0" applyProtection="0"/>
    <xf numFmtId="0" fontId="85" fillId="12" borderId="175" applyNumberFormat="0" applyAlignment="0" applyProtection="0"/>
    <xf numFmtId="0" fontId="85" fillId="12" borderId="175" applyNumberFormat="0" applyAlignment="0" applyProtection="0"/>
    <xf numFmtId="0" fontId="90" fillId="0" borderId="178" applyNumberFormat="0" applyFill="0" applyAlignment="0" applyProtection="0"/>
    <xf numFmtId="0" fontId="88" fillId="25" borderId="177" applyNumberFormat="0" applyAlignment="0" applyProtection="0"/>
    <xf numFmtId="0" fontId="39" fillId="28" borderId="176" applyNumberFormat="0" applyFont="0" applyAlignment="0" applyProtection="0"/>
    <xf numFmtId="0" fontId="85" fillId="12" borderId="175" applyNumberFormat="0" applyAlignment="0" applyProtection="0"/>
    <xf numFmtId="0" fontId="78" fillId="25" borderId="175" applyNumberFormat="0" applyAlignment="0" applyProtection="0"/>
    <xf numFmtId="177" fontId="62" fillId="0" borderId="172"/>
    <xf numFmtId="179" fontId="62" fillId="0" borderId="174">
      <alignment horizontal="center"/>
    </xf>
    <xf numFmtId="178" fontId="62" fillId="0" borderId="174">
      <alignment horizontal="right" vertical="center"/>
    </xf>
    <xf numFmtId="10" fontId="56" fillId="4" borderId="172" applyNumberFormat="0" applyBorder="0" applyAlignment="0" applyProtection="0"/>
    <xf numFmtId="0" fontId="45" fillId="0" borderId="173">
      <alignment horizontal="left" vertical="center"/>
    </xf>
    <xf numFmtId="0" fontId="85" fillId="12" borderId="175" applyNumberFormat="0" applyAlignment="0" applyProtection="0"/>
    <xf numFmtId="0" fontId="85" fillId="12" borderId="182" applyNumberFormat="0" applyAlignment="0" applyProtection="0"/>
    <xf numFmtId="0" fontId="85" fillId="12" borderId="182" applyNumberFormat="0" applyAlignment="0" applyProtection="0"/>
    <xf numFmtId="0" fontId="90" fillId="0" borderId="185" applyNumberFormat="0" applyFill="0" applyAlignment="0" applyProtection="0"/>
    <xf numFmtId="0" fontId="88" fillId="25" borderId="184" applyNumberFormat="0" applyAlignment="0" applyProtection="0"/>
    <xf numFmtId="0" fontId="39" fillId="28" borderId="183" applyNumberFormat="0" applyFont="0" applyAlignment="0" applyProtection="0"/>
    <xf numFmtId="0" fontId="85" fillId="12" borderId="182" applyNumberFormat="0" applyAlignment="0" applyProtection="0"/>
    <xf numFmtId="0" fontId="78" fillId="25" borderId="182" applyNumberFormat="0" applyAlignment="0" applyProtection="0"/>
    <xf numFmtId="177" fontId="62" fillId="0" borderId="179"/>
    <xf numFmtId="179" fontId="62" fillId="0" borderId="181">
      <alignment horizontal="center"/>
    </xf>
    <xf numFmtId="178" fontId="62" fillId="0" borderId="181">
      <alignment horizontal="right" vertical="center"/>
    </xf>
    <xf numFmtId="10" fontId="56" fillId="4" borderId="179" applyNumberFormat="0" applyBorder="0" applyAlignment="0" applyProtection="0"/>
    <xf numFmtId="0" fontId="45" fillId="0" borderId="180">
      <alignment horizontal="left" vertical="center"/>
    </xf>
    <xf numFmtId="0" fontId="85" fillId="12" borderId="182" applyNumberFormat="0" applyAlignment="0" applyProtection="0"/>
    <xf numFmtId="0" fontId="85" fillId="12" borderId="189" applyNumberFormat="0" applyAlignment="0" applyProtection="0"/>
    <xf numFmtId="0" fontId="85" fillId="12" borderId="189" applyNumberFormat="0" applyAlignment="0" applyProtection="0"/>
    <xf numFmtId="0" fontId="90" fillId="0" borderId="192" applyNumberFormat="0" applyFill="0" applyAlignment="0" applyProtection="0"/>
    <xf numFmtId="0" fontId="88" fillId="25" borderId="191" applyNumberFormat="0" applyAlignment="0" applyProtection="0"/>
    <xf numFmtId="0" fontId="39" fillId="28" borderId="190" applyNumberFormat="0" applyFont="0" applyAlignment="0" applyProtection="0"/>
    <xf numFmtId="0" fontId="85" fillId="12" borderId="189" applyNumberFormat="0" applyAlignment="0" applyProtection="0"/>
    <xf numFmtId="0" fontId="78" fillId="25" borderId="189" applyNumberFormat="0" applyAlignment="0" applyProtection="0"/>
    <xf numFmtId="177" fontId="62" fillId="0" borderId="186"/>
    <xf numFmtId="179" fontId="62" fillId="0" borderId="188">
      <alignment horizontal="center"/>
    </xf>
    <xf numFmtId="178" fontId="62" fillId="0" borderId="188">
      <alignment horizontal="right" vertical="center"/>
    </xf>
    <xf numFmtId="10" fontId="56" fillId="4" borderId="186" applyNumberFormat="0" applyBorder="0" applyAlignment="0" applyProtection="0"/>
    <xf numFmtId="0" fontId="45" fillId="0" borderId="187">
      <alignment horizontal="left" vertical="center"/>
    </xf>
    <xf numFmtId="0" fontId="85" fillId="12" borderId="189" applyNumberFormat="0" applyAlignment="0" applyProtection="0"/>
    <xf numFmtId="0" fontId="85" fillId="12" borderId="196" applyNumberFormat="0" applyAlignment="0" applyProtection="0"/>
    <xf numFmtId="0" fontId="85" fillId="12" borderId="196" applyNumberFormat="0" applyAlignment="0" applyProtection="0"/>
    <xf numFmtId="0" fontId="90" fillId="0" borderId="199" applyNumberFormat="0" applyFill="0" applyAlignment="0" applyProtection="0"/>
    <xf numFmtId="0" fontId="88" fillId="25" borderId="198" applyNumberFormat="0" applyAlignment="0" applyProtection="0"/>
    <xf numFmtId="0" fontId="39" fillId="28" borderId="197" applyNumberFormat="0" applyFont="0" applyAlignment="0" applyProtection="0"/>
    <xf numFmtId="0" fontId="85" fillId="12" borderId="196" applyNumberFormat="0" applyAlignment="0" applyProtection="0"/>
    <xf numFmtId="0" fontId="78" fillId="25" borderId="196" applyNumberFormat="0" applyAlignment="0" applyProtection="0"/>
    <xf numFmtId="177" fontId="62" fillId="0" borderId="193"/>
    <xf numFmtId="179" fontId="62" fillId="0" borderId="195">
      <alignment horizontal="center"/>
    </xf>
    <xf numFmtId="178" fontId="62" fillId="0" borderId="195">
      <alignment horizontal="right" vertical="center"/>
    </xf>
    <xf numFmtId="10" fontId="56" fillId="4" borderId="193" applyNumberFormat="0" applyBorder="0" applyAlignment="0" applyProtection="0"/>
    <xf numFmtId="0" fontId="45" fillId="0" borderId="194">
      <alignment horizontal="left" vertical="center"/>
    </xf>
    <xf numFmtId="0" fontId="85" fillId="12" borderId="196" applyNumberFormat="0" applyAlignment="0" applyProtection="0"/>
    <xf numFmtId="0" fontId="85" fillId="12" borderId="203" applyNumberFormat="0" applyAlignment="0" applyProtection="0"/>
    <xf numFmtId="0" fontId="85" fillId="12" borderId="203" applyNumberFormat="0" applyAlignment="0" applyProtection="0"/>
    <xf numFmtId="0" fontId="90" fillId="0" borderId="206" applyNumberFormat="0" applyFill="0" applyAlignment="0" applyProtection="0"/>
    <xf numFmtId="0" fontId="88" fillId="25" borderId="205" applyNumberFormat="0" applyAlignment="0" applyProtection="0"/>
    <xf numFmtId="0" fontId="39" fillId="28" borderId="204" applyNumberFormat="0" applyFont="0" applyAlignment="0" applyProtection="0"/>
    <xf numFmtId="0" fontId="85" fillId="12" borderId="203" applyNumberFormat="0" applyAlignment="0" applyProtection="0"/>
    <xf numFmtId="0" fontId="78" fillId="25" borderId="203" applyNumberFormat="0" applyAlignment="0" applyProtection="0"/>
    <xf numFmtId="177" fontId="62" fillId="0" borderId="200"/>
    <xf numFmtId="179" fontId="62" fillId="0" borderId="202">
      <alignment horizontal="center"/>
    </xf>
    <xf numFmtId="178" fontId="62" fillId="0" borderId="202">
      <alignment horizontal="right" vertical="center"/>
    </xf>
    <xf numFmtId="10" fontId="56" fillId="4" borderId="200" applyNumberFormat="0" applyBorder="0" applyAlignment="0" applyProtection="0"/>
    <xf numFmtId="0" fontId="45" fillId="0" borderId="201">
      <alignment horizontal="left" vertical="center"/>
    </xf>
    <xf numFmtId="0" fontId="85" fillId="12" borderId="203" applyNumberFormat="0" applyAlignment="0" applyProtection="0"/>
    <xf numFmtId="0" fontId="85" fillId="12" borderId="210" applyNumberFormat="0" applyAlignment="0" applyProtection="0"/>
    <xf numFmtId="0" fontId="85" fillId="12" borderId="210" applyNumberFormat="0" applyAlignment="0" applyProtection="0"/>
    <xf numFmtId="0" fontId="90" fillId="0" borderId="213" applyNumberFormat="0" applyFill="0" applyAlignment="0" applyProtection="0"/>
    <xf numFmtId="0" fontId="88" fillId="25" borderId="212" applyNumberFormat="0" applyAlignment="0" applyProtection="0"/>
    <xf numFmtId="0" fontId="39" fillId="28" borderId="211" applyNumberFormat="0" applyFont="0" applyAlignment="0" applyProtection="0"/>
    <xf numFmtId="0" fontId="85" fillId="12" borderId="210" applyNumberFormat="0" applyAlignment="0" applyProtection="0"/>
    <xf numFmtId="0" fontId="78" fillId="25" borderId="210" applyNumberFormat="0" applyAlignment="0" applyProtection="0"/>
    <xf numFmtId="177" fontId="62" fillId="0" borderId="207"/>
    <xf numFmtId="179" fontId="62" fillId="0" borderId="209">
      <alignment horizontal="center"/>
    </xf>
    <xf numFmtId="178" fontId="62" fillId="0" borderId="209">
      <alignment horizontal="right" vertical="center"/>
    </xf>
    <xf numFmtId="10" fontId="56" fillId="4" borderId="207" applyNumberFormat="0" applyBorder="0" applyAlignment="0" applyProtection="0"/>
    <xf numFmtId="0" fontId="45" fillId="0" borderId="208">
      <alignment horizontal="left" vertical="center"/>
    </xf>
    <xf numFmtId="0" fontId="85" fillId="12" borderId="210" applyNumberFormat="0" applyAlignment="0" applyProtection="0"/>
    <xf numFmtId="0" fontId="85" fillId="12" borderId="217" applyNumberFormat="0" applyAlignment="0" applyProtection="0"/>
    <xf numFmtId="0" fontId="85" fillId="12" borderId="217" applyNumberFormat="0" applyAlignment="0" applyProtection="0"/>
    <xf numFmtId="0" fontId="90" fillId="0" borderId="220" applyNumberFormat="0" applyFill="0" applyAlignment="0" applyProtection="0"/>
    <xf numFmtId="0" fontId="88" fillId="25" borderId="219" applyNumberFormat="0" applyAlignment="0" applyProtection="0"/>
    <xf numFmtId="0" fontId="39" fillId="28" borderId="218" applyNumberFormat="0" applyFont="0" applyAlignment="0" applyProtection="0"/>
    <xf numFmtId="0" fontId="85" fillId="12" borderId="217" applyNumberFormat="0" applyAlignment="0" applyProtection="0"/>
    <xf numFmtId="0" fontId="78" fillId="25" borderId="217" applyNumberFormat="0" applyAlignment="0" applyProtection="0"/>
    <xf numFmtId="177" fontId="62" fillId="0" borderId="214"/>
    <xf numFmtId="179" fontId="62" fillId="0" borderId="216">
      <alignment horizontal="center"/>
    </xf>
    <xf numFmtId="178" fontId="62" fillId="0" borderId="216">
      <alignment horizontal="right" vertical="center"/>
    </xf>
    <xf numFmtId="10" fontId="56" fillId="4" borderId="214" applyNumberFormat="0" applyBorder="0" applyAlignment="0" applyProtection="0"/>
    <xf numFmtId="0" fontId="45" fillId="0" borderId="215">
      <alignment horizontal="left" vertical="center"/>
    </xf>
    <xf numFmtId="0" fontId="85" fillId="12" borderId="217" applyNumberFormat="0" applyAlignment="0" applyProtection="0"/>
    <xf numFmtId="0" fontId="85" fillId="12" borderId="224" applyNumberFormat="0" applyAlignment="0" applyProtection="0"/>
    <xf numFmtId="0" fontId="85" fillId="12" borderId="224" applyNumberFormat="0" applyAlignment="0" applyProtection="0"/>
    <xf numFmtId="0" fontId="90" fillId="0" borderId="227" applyNumberFormat="0" applyFill="0" applyAlignment="0" applyProtection="0"/>
    <xf numFmtId="0" fontId="88" fillId="25" borderId="226" applyNumberFormat="0" applyAlignment="0" applyProtection="0"/>
    <xf numFmtId="0" fontId="39" fillId="28" borderId="225" applyNumberFormat="0" applyFont="0" applyAlignment="0" applyProtection="0"/>
    <xf numFmtId="0" fontId="85" fillId="12" borderId="224" applyNumberFormat="0" applyAlignment="0" applyProtection="0"/>
    <xf numFmtId="0" fontId="78" fillId="25" borderId="224" applyNumberFormat="0" applyAlignment="0" applyProtection="0"/>
    <xf numFmtId="177" fontId="62" fillId="0" borderId="221"/>
    <xf numFmtId="179" fontId="62" fillId="0" borderId="223">
      <alignment horizontal="center"/>
    </xf>
    <xf numFmtId="178" fontId="62" fillId="0" borderId="223">
      <alignment horizontal="right" vertical="center"/>
    </xf>
    <xf numFmtId="10" fontId="56" fillId="4" borderId="221" applyNumberFormat="0" applyBorder="0" applyAlignment="0" applyProtection="0"/>
    <xf numFmtId="0" fontId="45" fillId="0" borderId="222">
      <alignment horizontal="left" vertical="center"/>
    </xf>
    <xf numFmtId="0" fontId="85" fillId="12" borderId="224" applyNumberFormat="0" applyAlignment="0" applyProtection="0"/>
    <xf numFmtId="0" fontId="85" fillId="12" borderId="231" applyNumberFormat="0" applyAlignment="0" applyProtection="0"/>
    <xf numFmtId="0" fontId="85" fillId="12" borderId="231" applyNumberFormat="0" applyAlignment="0" applyProtection="0"/>
    <xf numFmtId="0" fontId="90" fillId="0" borderId="234" applyNumberFormat="0" applyFill="0" applyAlignment="0" applyProtection="0"/>
    <xf numFmtId="0" fontId="88" fillId="25" borderId="233" applyNumberFormat="0" applyAlignment="0" applyProtection="0"/>
    <xf numFmtId="0" fontId="39" fillId="28" borderId="232" applyNumberFormat="0" applyFont="0" applyAlignment="0" applyProtection="0"/>
    <xf numFmtId="0" fontId="85" fillId="12" borderId="231" applyNumberFormat="0" applyAlignment="0" applyProtection="0"/>
    <xf numFmtId="0" fontId="78" fillId="25" borderId="231" applyNumberFormat="0" applyAlignment="0" applyProtection="0"/>
    <xf numFmtId="177" fontId="62" fillId="0" borderId="228"/>
    <xf numFmtId="179" fontId="62" fillId="0" borderId="230">
      <alignment horizontal="center"/>
    </xf>
    <xf numFmtId="178" fontId="62" fillId="0" borderId="230">
      <alignment horizontal="right" vertical="center"/>
    </xf>
    <xf numFmtId="10" fontId="56" fillId="4" borderId="228" applyNumberFormat="0" applyBorder="0" applyAlignment="0" applyProtection="0"/>
    <xf numFmtId="0" fontId="45" fillId="0" borderId="229">
      <alignment horizontal="left" vertical="center"/>
    </xf>
    <xf numFmtId="0" fontId="85" fillId="12" borderId="231" applyNumberFormat="0" applyAlignment="0" applyProtection="0"/>
  </cellStyleXfs>
  <cellXfs count="244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/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9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quotePrefix="1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 indent="5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2" borderId="0" xfId="0" applyFont="1" applyFill="1" applyAlignment="1">
      <alignment horizontal="left"/>
    </xf>
    <xf numFmtId="0" fontId="19" fillId="0" borderId="1" xfId="0" applyFont="1" applyFill="1" applyBorder="1" applyAlignment="1">
      <alignment horizontal="left"/>
    </xf>
    <xf numFmtId="0" fontId="19" fillId="0" borderId="1" xfId="0" applyFont="1" applyFill="1" applyBorder="1" applyAlignment="1"/>
    <xf numFmtId="9" fontId="0" fillId="0" borderId="0" xfId="0" applyNumberFormat="1" applyAlignment="1">
      <alignment horizontal="left"/>
    </xf>
    <xf numFmtId="164" fontId="0" fillId="0" borderId="1" xfId="0" applyNumberFormat="1" applyBorder="1" applyAlignment="1">
      <alignment horizontal="center"/>
    </xf>
    <xf numFmtId="0" fontId="3" fillId="0" borderId="0" xfId="0" quotePrefix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/>
    <xf numFmtId="0" fontId="2" fillId="0" borderId="8" xfId="0" applyFont="1" applyBorder="1" applyAlignment="1">
      <alignment vertical="center"/>
    </xf>
    <xf numFmtId="0" fontId="0" fillId="0" borderId="9" xfId="0" applyBorder="1" applyAlignment="1"/>
    <xf numFmtId="0" fontId="6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11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164" fontId="0" fillId="0" borderId="9" xfId="0" applyNumberFormat="1" applyBorder="1" applyAlignment="1">
      <alignment horizontal="left"/>
    </xf>
    <xf numFmtId="0" fontId="20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21" fillId="0" borderId="0" xfId="0" quotePrefix="1" applyFont="1" applyAlignment="1">
      <alignment horizontal="left" vertical="center"/>
    </xf>
    <xf numFmtId="0" fontId="2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16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25" fillId="0" borderId="18" xfId="0" applyFont="1" applyBorder="1"/>
    <xf numFmtId="0" fontId="25" fillId="0" borderId="18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25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22" fillId="3" borderId="1" xfId="0" applyFont="1" applyFill="1" applyBorder="1"/>
    <xf numFmtId="0" fontId="13" fillId="3" borderId="1" xfId="0" applyFont="1" applyFill="1" applyBorder="1" applyAlignment="1">
      <alignment horizontal="left"/>
    </xf>
    <xf numFmtId="0" fontId="25" fillId="0" borderId="22" xfId="0" applyFont="1" applyBorder="1"/>
    <xf numFmtId="0" fontId="0" fillId="0" borderId="6" xfId="0" applyBorder="1" applyAlignment="1">
      <alignment horizontal="left"/>
    </xf>
    <xf numFmtId="0" fontId="25" fillId="0" borderId="1" xfId="0" applyFont="1" applyBorder="1"/>
    <xf numFmtId="0" fontId="25" fillId="0" borderId="21" xfId="0" applyFont="1" applyBorder="1" applyAlignment="1">
      <alignment horizontal="center"/>
    </xf>
    <xf numFmtId="0" fontId="25" fillId="0" borderId="20" xfId="0" applyFont="1" applyBorder="1"/>
    <xf numFmtId="0" fontId="23" fillId="0" borderId="23" xfId="0" applyFont="1" applyBorder="1"/>
    <xf numFmtId="0" fontId="26" fillId="0" borderId="10" xfId="0" applyFont="1" applyFill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5" fillId="0" borderId="6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0" fillId="0" borderId="21" xfId="0" applyBorder="1"/>
    <xf numFmtId="0" fontId="25" fillId="0" borderId="8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6" fillId="0" borderId="13" xfId="0" applyFont="1" applyFill="1" applyBorder="1" applyAlignment="1">
      <alignment horizontal="left"/>
    </xf>
    <xf numFmtId="0" fontId="25" fillId="0" borderId="1" xfId="0" quotePrefix="1" applyFont="1" applyBorder="1" applyAlignment="1">
      <alignment horizontal="left"/>
    </xf>
    <xf numFmtId="0" fontId="23" fillId="0" borderId="22" xfId="0" applyFont="1" applyBorder="1"/>
    <xf numFmtId="0" fontId="23" fillId="0" borderId="6" xfId="0" applyFont="1" applyBorder="1"/>
    <xf numFmtId="0" fontId="26" fillId="0" borderId="12" xfId="0" applyFont="1" applyFill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3" fillId="0" borderId="1" xfId="0" applyFont="1" applyBorder="1" applyAlignment="1">
      <alignment horizontal="right"/>
    </xf>
    <xf numFmtId="0" fontId="23" fillId="0" borderId="21" xfId="0" applyFont="1" applyBorder="1" applyAlignment="1">
      <alignment horizontal="right"/>
    </xf>
    <xf numFmtId="0" fontId="23" fillId="0" borderId="10" xfId="0" applyFont="1" applyBorder="1"/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1" xfId="0" applyBorder="1" applyAlignment="1">
      <alignment horizontal="right"/>
    </xf>
    <xf numFmtId="11" fontId="23" fillId="0" borderId="1" xfId="0" applyNumberFormat="1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7" fillId="0" borderId="12" xfId="0" applyFont="1" applyFill="1" applyBorder="1" applyAlignment="1">
      <alignment horizontal="left"/>
    </xf>
    <xf numFmtId="0" fontId="27" fillId="0" borderId="13" xfId="0" applyFont="1" applyFill="1" applyBorder="1" applyAlignment="1">
      <alignment horizontal="left"/>
    </xf>
    <xf numFmtId="0" fontId="23" fillId="0" borderId="24" xfId="0" applyFont="1" applyBorder="1"/>
    <xf numFmtId="0" fontId="23" fillId="0" borderId="3" xfId="0" applyFont="1" applyBorder="1"/>
    <xf numFmtId="0" fontId="23" fillId="0" borderId="4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1" xfId="0" applyFont="1" applyBorder="1"/>
    <xf numFmtId="0" fontId="23" fillId="0" borderId="21" xfId="0" applyFont="1" applyBorder="1" applyAlignment="1">
      <alignment horizontal="left"/>
    </xf>
    <xf numFmtId="1" fontId="29" fillId="0" borderId="1" xfId="1" applyNumberFormat="1" applyFont="1" applyFill="1" applyBorder="1" applyAlignment="1">
      <alignment horizontal="left" vertical="center"/>
    </xf>
    <xf numFmtId="1" fontId="29" fillId="0" borderId="1" xfId="1" applyNumberFormat="1" applyFont="1" applyFill="1" applyBorder="1" applyAlignment="1">
      <alignment horizontal="center" vertical="center"/>
    </xf>
    <xf numFmtId="0" fontId="25" fillId="0" borderId="20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0" fillId="0" borderId="26" xfId="0" applyBorder="1"/>
    <xf numFmtId="0" fontId="25" fillId="0" borderId="26" xfId="0" applyFont="1" applyBorder="1"/>
    <xf numFmtId="0" fontId="0" fillId="0" borderId="27" xfId="0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5" fillId="0" borderId="0" xfId="0" applyFont="1"/>
    <xf numFmtId="0" fontId="23" fillId="0" borderId="0" xfId="0" applyFont="1"/>
    <xf numFmtId="0" fontId="22" fillId="3" borderId="3" xfId="0" applyFont="1" applyFill="1" applyBorder="1"/>
    <xf numFmtId="0" fontId="0" fillId="3" borderId="4" xfId="0" applyFill="1" applyBorder="1" applyAlignment="1">
      <alignment horizontal="left"/>
    </xf>
    <xf numFmtId="2" fontId="0" fillId="0" borderId="0" xfId="0" applyNumberFormat="1" applyAlignment="1">
      <alignment horizontal="center"/>
    </xf>
    <xf numFmtId="0" fontId="11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21" fillId="0" borderId="0" xfId="0" quotePrefix="1" applyFont="1" applyAlignment="1">
      <alignment horizontal="left"/>
    </xf>
    <xf numFmtId="0" fontId="30" fillId="0" borderId="0" xfId="0" applyFont="1" applyAlignment="1">
      <alignment vertical="center"/>
    </xf>
    <xf numFmtId="2" fontId="0" fillId="0" borderId="9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left" vertical="center"/>
    </xf>
    <xf numFmtId="2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1" fontId="0" fillId="0" borderId="11" xfId="0" applyNumberFormat="1" applyBorder="1" applyAlignment="1">
      <alignment horizontal="left"/>
    </xf>
    <xf numFmtId="1" fontId="0" fillId="0" borderId="13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0" fontId="34" fillId="0" borderId="1" xfId="0" applyFont="1" applyFill="1" applyBorder="1" applyAlignment="1">
      <alignment horizontal="left"/>
    </xf>
    <xf numFmtId="0" fontId="35" fillId="3" borderId="0" xfId="0" applyFont="1" applyFill="1" applyAlignment="1">
      <alignment horizontal="center"/>
    </xf>
    <xf numFmtId="0" fontId="1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106" fillId="3" borderId="0" xfId="0" applyFont="1" applyFill="1" applyAlignment="1">
      <alignment horizontal="center"/>
    </xf>
    <xf numFmtId="0" fontId="106" fillId="0" borderId="228" xfId="0" applyFont="1" applyBorder="1" applyAlignment="1">
      <alignment horizontal="center"/>
    </xf>
    <xf numFmtId="1" fontId="106" fillId="0" borderId="0" xfId="0" applyNumberFormat="1" applyFont="1" applyAlignment="1">
      <alignment horizontal="center"/>
    </xf>
    <xf numFmtId="206" fontId="106" fillId="0" borderId="0" xfId="0" applyNumberFormat="1" applyFont="1" applyAlignment="1">
      <alignment horizontal="left"/>
    </xf>
    <xf numFmtId="164" fontId="106" fillId="0" borderId="0" xfId="0" applyNumberFormat="1" applyFont="1" applyAlignment="1">
      <alignment horizontal="left"/>
    </xf>
    <xf numFmtId="2" fontId="106" fillId="0" borderId="0" xfId="0" applyNumberFormat="1" applyFont="1" applyAlignment="1">
      <alignment horizontal="left"/>
    </xf>
    <xf numFmtId="0" fontId="99" fillId="0" borderId="1" xfId="481" applyFont="1" applyAlignment="1">
      <alignment horizontal="left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horizontal="left"/>
    </xf>
    <xf numFmtId="11" fontId="106" fillId="0" borderId="0" xfId="0" applyNumberFormat="1" applyFont="1" applyAlignment="1">
      <alignment horizontal="left"/>
    </xf>
    <xf numFmtId="0" fontId="106" fillId="0" borderId="0" xfId="0" applyFont="1" applyAlignment="1">
      <alignment horizontal="center"/>
    </xf>
    <xf numFmtId="11" fontId="0" fillId="0" borderId="1" xfId="0" applyNumberFormat="1" applyFill="1" applyBorder="1" applyAlignment="1">
      <alignment horizontal="left"/>
    </xf>
    <xf numFmtId="3" fontId="106" fillId="0" borderId="0" xfId="0" applyNumberFormat="1" applyFont="1" applyAlignment="1">
      <alignment horizontal="left"/>
    </xf>
    <xf numFmtId="0" fontId="99" fillId="0" borderId="1" xfId="462" applyFont="1"/>
    <xf numFmtId="206" fontId="0" fillId="0" borderId="0" xfId="0" applyNumberFormat="1" applyAlignment="1">
      <alignment horizontal="center"/>
    </xf>
    <xf numFmtId="0" fontId="99" fillId="0" borderId="1" xfId="2" applyFont="1"/>
    <xf numFmtId="0" fontId="94" fillId="0" borderId="1" xfId="492" applyFont="1" applyAlignment="1">
      <alignment horizontal="center"/>
    </xf>
    <xf numFmtId="0" fontId="94" fillId="0" borderId="1" xfId="471" applyFont="1" applyAlignment="1">
      <alignment horizontal="center"/>
    </xf>
    <xf numFmtId="0" fontId="94" fillId="0" borderId="1" xfId="479" applyFont="1"/>
    <xf numFmtId="0" fontId="94" fillId="0" borderId="1" xfId="493" applyFont="1"/>
    <xf numFmtId="0" fontId="94" fillId="0" borderId="1" xfId="473" applyFont="1"/>
    <xf numFmtId="0" fontId="94" fillId="0" borderId="1" xfId="477" applyFont="1"/>
    <xf numFmtId="0" fontId="94" fillId="0" borderId="1" xfId="467" applyFont="1"/>
    <xf numFmtId="1" fontId="106" fillId="0" borderId="0" xfId="0" applyNumberFormat="1" applyFont="1" applyAlignment="1">
      <alignment horizontal="left"/>
    </xf>
    <xf numFmtId="0" fontId="94" fillId="0" borderId="1" xfId="466" applyFont="1"/>
    <xf numFmtId="0" fontId="94" fillId="0" borderId="1" xfId="496" applyFont="1"/>
    <xf numFmtId="0" fontId="94" fillId="0" borderId="1" xfId="495" applyFont="1"/>
    <xf numFmtId="0" fontId="94" fillId="0" borderId="1" xfId="474" applyFont="1"/>
    <xf numFmtId="0" fontId="94" fillId="0" borderId="1" xfId="482" applyFont="1"/>
    <xf numFmtId="0" fontId="94" fillId="0" borderId="1" xfId="500" applyFont="1"/>
    <xf numFmtId="0" fontId="94" fillId="0" borderId="1" xfId="490" applyFont="1"/>
    <xf numFmtId="0" fontId="94" fillId="0" borderId="1" xfId="465" applyFont="1"/>
    <xf numFmtId="0" fontId="94" fillId="0" borderId="1" xfId="591" applyFont="1"/>
    <xf numFmtId="0" fontId="36" fillId="0" borderId="1" xfId="476"/>
    <xf numFmtId="0" fontId="94" fillId="0" borderId="1" xfId="476" applyFont="1"/>
    <xf numFmtId="0" fontId="94" fillId="0" borderId="1" xfId="511" applyFont="1"/>
    <xf numFmtId="0" fontId="94" fillId="0" borderId="1" xfId="593" applyFont="1"/>
    <xf numFmtId="0" fontId="95" fillId="0" borderId="1" xfId="464" applyFont="1" applyAlignment="1">
      <alignment horizontal="right"/>
    </xf>
    <xf numFmtId="0" fontId="95" fillId="0" borderId="1" xfId="475" applyFont="1"/>
    <xf numFmtId="0" fontId="17" fillId="0" borderId="0" xfId="0" applyFont="1" applyAlignment="1">
      <alignment horizontal="left" vertical="center"/>
    </xf>
    <xf numFmtId="0" fontId="107" fillId="0" borderId="0" xfId="0" applyFont="1" applyAlignment="1">
      <alignment horizontal="left"/>
    </xf>
    <xf numFmtId="0" fontId="107" fillId="2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/>
    </xf>
    <xf numFmtId="0" fontId="107" fillId="0" borderId="1" xfId="0" applyFont="1" applyFill="1" applyBorder="1" applyAlignment="1"/>
    <xf numFmtId="0" fontId="107" fillId="0" borderId="0" xfId="0" applyFont="1" applyAlignment="1"/>
    <xf numFmtId="0" fontId="19" fillId="0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</cellXfs>
  <cellStyles count="856">
    <cellStyle name="_x0001_" xfId="49" xr:uid="{BA8CDA85-8057-4E30-B273-9618EF192840}"/>
    <cellStyle name="??" xfId="53" xr:uid="{EA610159-5638-47F3-8823-F16670C7FD9A}"/>
    <cellStyle name="?? [0.00]_List-dwg" xfId="48" xr:uid="{9BF7EF12-538B-45EB-B58C-586252E374A0}"/>
    <cellStyle name="?? [0]_ ??? ???? " xfId="58" xr:uid="{56B12FC2-51B1-4104-8C95-ED2E53E8DD1F}"/>
    <cellStyle name="?_x001d_??%U©÷u&amp;H©÷9_x0008_?_x0009_s_x000a__x0007__x0001__x0001_" xfId="59" xr:uid="{BBE035C1-418E-47A7-B38F-E8CEC77BBDCA}"/>
    <cellStyle name="???? [0.00]_List-dwg" xfId="60" xr:uid="{B23B9013-8684-4679-98A5-ECDC72B37E0B}"/>
    <cellStyle name="????_List-dwg" xfId="61" xr:uid="{D1F299D8-4B55-48BD-B506-3D26849B5EEA}"/>
    <cellStyle name="???[0]_Book1" xfId="62" xr:uid="{9E95B4F3-EC24-4781-AAA4-C498FD03990E}"/>
    <cellStyle name="???_95" xfId="63" xr:uid="{80E750D1-7BF6-4F75-BB91-801C74162753}"/>
    <cellStyle name="??_ ??? ???? " xfId="64" xr:uid="{75DE51E6-988C-4741-A5DC-B725797AB178}"/>
    <cellStyle name="??A? [0]_laroux_1_¢¬???¢â? " xfId="381" xr:uid="{FBE4E3BD-2D93-4F32-A457-48CF3507BC91}"/>
    <cellStyle name="??A?_laroux_1_¢¬???¢â? " xfId="382" xr:uid="{BA9594A6-8F0F-4F43-9AE4-733BC3814126}"/>
    <cellStyle name="?¡±¢¥?_?¨ù??¢´¢¥_¢¬???¢â? " xfId="65" xr:uid="{E8EF176E-2117-43C5-8E45-CD3A8F459FB5}"/>
    <cellStyle name="?ðÇ%U?&amp;H?_x0008_?s_x000a__x0007__x0001__x0001_" xfId="66" xr:uid="{87C3148C-CDA8-4A7A-962A-D17363807469}"/>
    <cellStyle name="_Book1" xfId="67" xr:uid="{791115C0-953A-4D5D-B8F6-7F1A07F67E19}"/>
    <cellStyle name="_Book1_1" xfId="68" xr:uid="{473B1563-3896-4828-B84A-2CC66E8B0ABD}"/>
    <cellStyle name="_Book1_BC-QT-WB-dthao" xfId="69" xr:uid="{F299D76C-935A-4B7A-BFF7-F5BEB51402ED}"/>
    <cellStyle name="_KT (2)" xfId="70" xr:uid="{3BD61F68-C3B5-4CC4-A6D2-48130042317C}"/>
    <cellStyle name="_KT (2)_1" xfId="71" xr:uid="{4606B597-A9C1-42FD-9C28-8BC6AFBEB06E}"/>
    <cellStyle name="_KT (2)_1_Lora-tungchau" xfId="72" xr:uid="{E1179726-519F-4D12-8B18-8A5B79A09156}"/>
    <cellStyle name="_KT (2)_1_Qt-HT3PQ1(CauKho)" xfId="73" xr:uid="{A3607F09-8D03-4CEE-89EF-D08B332190FC}"/>
    <cellStyle name="_KT (2)_2" xfId="74" xr:uid="{A7AC32A3-E454-4969-9AED-946F94DC98C6}"/>
    <cellStyle name="_KT (2)_2_TG-TH" xfId="75" xr:uid="{3B31C128-8EF1-425E-A2A5-0E8C0F30490B}"/>
    <cellStyle name="_KT (2)_2_TG-TH_BAO CAO KLCT PT2000" xfId="76" xr:uid="{2624D845-E5B2-4F51-A4E9-EED1B3F93B59}"/>
    <cellStyle name="_KT (2)_2_TG-TH_BAO CAO PT2000" xfId="77" xr:uid="{457BB6DF-6EA3-4325-BD9E-6BAE418A48A1}"/>
    <cellStyle name="_KT (2)_2_TG-TH_BAO CAO PT2000_Book1" xfId="78" xr:uid="{0DC27DE1-126F-4CFF-8FC3-A99C825E0670}"/>
    <cellStyle name="_KT (2)_2_TG-TH_Bao cao XDCB 2001 - T11 KH dieu chinh 20-11-THAI" xfId="79" xr:uid="{B5E7E2FD-BF71-4EE4-B098-FD2E87A1AA3D}"/>
    <cellStyle name="_KT (2)_2_TG-TH_Book1" xfId="80" xr:uid="{762083C5-61A6-41EC-B33C-7C3AFB6B5D07}"/>
    <cellStyle name="_KT (2)_2_TG-TH_Book1_1" xfId="81" xr:uid="{CD3F0E54-B18E-478D-9535-9DD732F130E9}"/>
    <cellStyle name="_KT (2)_2_TG-TH_Book1_2" xfId="82" xr:uid="{9A1422EC-35DB-40EB-BC2B-6293994671EF}"/>
    <cellStyle name="_KT (2)_2_TG-TH_Book1_3" xfId="83" xr:uid="{21FBC540-CF05-4371-B548-C5A8879B9904}"/>
    <cellStyle name="_KT (2)_2_TG-TH_Book1_4" xfId="84" xr:uid="{DA0F9710-3482-46C8-B62C-0205EC44AF18}"/>
    <cellStyle name="_KT (2)_2_TG-TH_DTCDT MR.2N110.HOCMON.TDTOAN.CCUNG" xfId="85" xr:uid="{5998D03B-D0C5-4186-B298-67D8CBBE1B81}"/>
    <cellStyle name="_KT (2)_2_TG-TH_Lora-tungchau" xfId="86" xr:uid="{973F1468-91D8-4582-86B2-BF3046CFC4B0}"/>
    <cellStyle name="_KT (2)_2_TG-TH_PGIA-phieu tham tra Kho bac" xfId="87" xr:uid="{68557621-8142-4198-B7B7-BF17A058832F}"/>
    <cellStyle name="_KT (2)_2_TG-TH_PT02-02" xfId="88" xr:uid="{08F15F9E-7DCF-4C99-9C30-378A4DDC569B}"/>
    <cellStyle name="_KT (2)_2_TG-TH_PT02-02_Book1" xfId="89" xr:uid="{F2698AD2-0CAC-4B5E-8DEF-D1C09E5A741C}"/>
    <cellStyle name="_KT (2)_2_TG-TH_PT02-03" xfId="90" xr:uid="{FF88B859-6800-4959-AEEB-96C03E349A0B}"/>
    <cellStyle name="_KT (2)_2_TG-TH_PT02-03_Book1" xfId="91" xr:uid="{2ACDAA7B-1EC4-4CA0-8C43-72120A1C46BC}"/>
    <cellStyle name="_KT (2)_2_TG-TH_Qt-HT3PQ1(CauKho)" xfId="92" xr:uid="{D61726E4-EC09-4E5B-802E-363854E634DC}"/>
    <cellStyle name="_KT (2)_3" xfId="93" xr:uid="{1D3FDC2B-CC8C-46FD-ABBD-7270ADC1AD00}"/>
    <cellStyle name="_KT (2)_3_TG-TH" xfId="94" xr:uid="{D452A3B9-AFE8-4C7F-85F4-D25BDCC05C45}"/>
    <cellStyle name="_KT (2)_3_TG-TH_Book1" xfId="95" xr:uid="{3D9783E2-77B1-45D5-B822-A7BBFD63B0FC}"/>
    <cellStyle name="_KT (2)_3_TG-TH_Book1_1" xfId="96" xr:uid="{1D212BDF-B73B-4ECE-9684-37222AD811D1}"/>
    <cellStyle name="_KT (2)_3_TG-TH_Book1_BC-QT-WB-dthao" xfId="97" xr:uid="{D1C65891-6011-4730-93DC-5DA4CDB36FCD}"/>
    <cellStyle name="_KT (2)_3_TG-TH_Lora-tungchau" xfId="98" xr:uid="{7B709DB0-38B7-4145-AE65-FC47CE171FAA}"/>
    <cellStyle name="_KT (2)_3_TG-TH_PERSONAL" xfId="99" xr:uid="{959225D4-CC3E-462C-97DA-A9B1F5B19C4E}"/>
    <cellStyle name="_KT (2)_3_TG-TH_PERSONAL_HTQ.8 GD1" xfId="100" xr:uid="{64A29736-D270-4AD7-9799-3E996C414FEA}"/>
    <cellStyle name="_KT (2)_3_TG-TH_PERSONAL_Tong hop KHCB 2001" xfId="101" xr:uid="{6E89171C-56AE-4416-BA58-E344072665E4}"/>
    <cellStyle name="_KT (2)_3_TG-TH_Qt-HT3PQ1(CauKho)" xfId="102" xr:uid="{B6B2ED9A-A409-4DDA-9C23-8275EA9472BC}"/>
    <cellStyle name="_KT (2)_4" xfId="103" xr:uid="{C9EAB0C1-D0A8-4509-A094-892C4694E113}"/>
    <cellStyle name="_KT (2)_4_BAO CAO KLCT PT2000" xfId="104" xr:uid="{52731902-5380-4BE7-BB50-CF251AB95169}"/>
    <cellStyle name="_KT (2)_4_BAO CAO PT2000" xfId="105" xr:uid="{D97C3027-D907-4208-A551-1E1FF40FF254}"/>
    <cellStyle name="_KT (2)_4_BAO CAO PT2000_Book1" xfId="106" xr:uid="{68ABE8F7-97D9-44F0-B3E7-13772E473E92}"/>
    <cellStyle name="_KT (2)_4_Bao cao XDCB 2001 - T11 KH dieu chinh 20-11-THAI" xfId="107" xr:uid="{528B7419-D21A-49CD-9FCD-DADB99039FFC}"/>
    <cellStyle name="_KT (2)_4_Book1" xfId="108" xr:uid="{8DCECD50-A1EB-49D0-8D1D-E04C2AFDF6DB}"/>
    <cellStyle name="_KT (2)_4_Book1_1" xfId="109" xr:uid="{C003C333-E741-46CC-BD20-7DA8BD6BA31B}"/>
    <cellStyle name="_KT (2)_4_Book1_2" xfId="110" xr:uid="{F7F05A20-006B-4EEF-9222-CEDF08E95F36}"/>
    <cellStyle name="_KT (2)_4_Book1_3" xfId="111" xr:uid="{3148C47E-A3E1-4FD3-9883-00738CC57399}"/>
    <cellStyle name="_KT (2)_4_Book1_4" xfId="112" xr:uid="{6ABD6D2A-F3B7-4E97-94D1-012F13C740C9}"/>
    <cellStyle name="_KT (2)_4_DTCDT MR.2N110.HOCMON.TDTOAN.CCUNG" xfId="113" xr:uid="{88B3FBE7-D0FB-4D23-8866-B46F17EA03C8}"/>
    <cellStyle name="_KT (2)_4_Lora-tungchau" xfId="114" xr:uid="{83003DA1-6811-42AE-BA3C-03A3529E1546}"/>
    <cellStyle name="_KT (2)_4_PGIA-phieu tham tra Kho bac" xfId="115" xr:uid="{92F924C2-0045-47D7-81C6-F75AAFAB9FE5}"/>
    <cellStyle name="_KT (2)_4_PT02-02" xfId="116" xr:uid="{5B7D2CE6-6F98-4DD8-9884-AEF7B860138B}"/>
    <cellStyle name="_KT (2)_4_PT02-02_Book1" xfId="117" xr:uid="{47569F6C-E354-450C-A933-C97CD8201672}"/>
    <cellStyle name="_KT (2)_4_PT02-03" xfId="118" xr:uid="{938A353F-9B2E-4071-96EF-098252CCCB8E}"/>
    <cellStyle name="_KT (2)_4_PT02-03_Book1" xfId="119" xr:uid="{7FC2FBBE-4A6E-4046-8B07-AE9B76952375}"/>
    <cellStyle name="_KT (2)_4_Qt-HT3PQ1(CauKho)" xfId="120" xr:uid="{468966A5-801C-4745-AD8F-FFDE6BF9C825}"/>
    <cellStyle name="_KT (2)_4_TG-TH" xfId="121" xr:uid="{CF6FE6B5-B408-4E5B-9499-F5BF4160E0B0}"/>
    <cellStyle name="_KT (2)_5" xfId="122" xr:uid="{244FE31D-7540-4BB8-92EF-EC432A6692F5}"/>
    <cellStyle name="_KT (2)_5_BAO CAO KLCT PT2000" xfId="123" xr:uid="{40019EFB-9A54-416D-9456-A9E0CF6D5103}"/>
    <cellStyle name="_KT (2)_5_BAO CAO PT2000" xfId="124" xr:uid="{59FCA1C7-FB9C-4DCB-9075-6E685CC3433A}"/>
    <cellStyle name="_KT (2)_5_BAO CAO PT2000_Book1" xfId="125" xr:uid="{56F52D75-60F7-46D8-A5CC-7E7809122C76}"/>
    <cellStyle name="_KT (2)_5_Bao cao XDCB 2001 - T11 KH dieu chinh 20-11-THAI" xfId="126" xr:uid="{BBDA9DAD-38B2-49ED-929F-3F22162275A1}"/>
    <cellStyle name="_KT (2)_5_Book1" xfId="127" xr:uid="{E486E94F-B070-4E27-B359-3D3617A2DBB9}"/>
    <cellStyle name="_KT (2)_5_Book1_1" xfId="128" xr:uid="{F136B374-06A3-499D-AD82-1FAD424F6CF2}"/>
    <cellStyle name="_KT (2)_5_Book1_2" xfId="129" xr:uid="{B1F895AE-EA1B-44FD-8AA3-BA7F50A7936B}"/>
    <cellStyle name="_KT (2)_5_Book1_3" xfId="130" xr:uid="{3C28E708-4831-4602-B89D-1D0DC5D3CEFD}"/>
    <cellStyle name="_KT (2)_5_Book1_4" xfId="131" xr:uid="{C6796282-66AB-46FD-9FE1-BC47525ED18E}"/>
    <cellStyle name="_KT (2)_5_Book1_BC-QT-WB-dthao" xfId="132" xr:uid="{1F13C68A-1B4A-4541-A83C-84FA8E7A603A}"/>
    <cellStyle name="_KT (2)_5_DTCDT MR.2N110.HOCMON.TDTOAN.CCUNG" xfId="133" xr:uid="{BF009F82-EEE9-4D31-874D-817B1C096962}"/>
    <cellStyle name="_KT (2)_5_Lora-tungchau" xfId="134" xr:uid="{ECE7D43D-1A98-4138-8988-B234D456DD14}"/>
    <cellStyle name="_KT (2)_5_PGIA-phieu tham tra Kho bac" xfId="135" xr:uid="{37F53167-7F7D-48AF-B8C0-BC792A0E6A38}"/>
    <cellStyle name="_KT (2)_5_PT02-02" xfId="136" xr:uid="{CDA45A97-7D34-4A12-A8A3-CEBE99EA9D83}"/>
    <cellStyle name="_KT (2)_5_PT02-02_Book1" xfId="137" xr:uid="{093AFF39-207E-4CB9-B3E6-0A580E325BC0}"/>
    <cellStyle name="_KT (2)_5_PT02-03" xfId="138" xr:uid="{C96C10AA-07E3-4D14-89C0-CED3B8EDEE68}"/>
    <cellStyle name="_KT (2)_5_PT02-03_Book1" xfId="139" xr:uid="{16A2A997-85E6-4F4B-9651-F69A6F79E255}"/>
    <cellStyle name="_KT (2)_5_Qt-HT3PQ1(CauKho)" xfId="140" xr:uid="{4CC98199-F3B2-49DB-9F9B-D5B3058C7C3A}"/>
    <cellStyle name="_KT (2)_Book1" xfId="141" xr:uid="{A9031726-22EE-4728-915F-9B1C6E97E65E}"/>
    <cellStyle name="_KT (2)_Book1_1" xfId="142" xr:uid="{177A11C9-022D-4D45-95F7-72E1703FEE86}"/>
    <cellStyle name="_KT (2)_Book1_BC-QT-WB-dthao" xfId="143" xr:uid="{67B22B0E-2FF8-45E3-933A-AA334212874D}"/>
    <cellStyle name="_KT (2)_Lora-tungchau" xfId="144" xr:uid="{B745FF41-7F13-4622-94EC-F2DCE0FB44CD}"/>
    <cellStyle name="_KT (2)_PERSONAL" xfId="145" xr:uid="{776E7947-722D-4F56-BFDA-439BB3DE1197}"/>
    <cellStyle name="_KT (2)_PERSONAL_HTQ.8 GD1" xfId="146" xr:uid="{DC4A6FFA-01C8-442C-98B0-582093ACC8C1}"/>
    <cellStyle name="_KT (2)_PERSONAL_Tong hop KHCB 2001" xfId="147" xr:uid="{2DCCAE00-4C86-410F-8120-6AE2DD7BC99A}"/>
    <cellStyle name="_KT (2)_Qt-HT3PQ1(CauKho)" xfId="148" xr:uid="{16178B74-072D-40D0-A36B-81FF4C3A9B36}"/>
    <cellStyle name="_KT (2)_TG-TH" xfId="149" xr:uid="{B8E78309-D19E-48EF-AF3F-A9CC391D9ED5}"/>
    <cellStyle name="_KT_TG" xfId="150" xr:uid="{28834E8F-85BC-45C7-B2EA-8438B656FCA5}"/>
    <cellStyle name="_KT_TG_1" xfId="151" xr:uid="{DD9A6BEE-6150-4C7D-B0C6-EF02FDB86D93}"/>
    <cellStyle name="_KT_TG_1_BAO CAO KLCT PT2000" xfId="152" xr:uid="{899F1608-D398-42C1-BC13-13CC474E871B}"/>
    <cellStyle name="_KT_TG_1_BAO CAO PT2000" xfId="153" xr:uid="{74E32640-6B2D-4CA4-AB74-47E7E5FC5888}"/>
    <cellStyle name="_KT_TG_1_BAO CAO PT2000_Book1" xfId="154" xr:uid="{FCC4208A-D424-4E4B-9E81-11B635D18FEE}"/>
    <cellStyle name="_KT_TG_1_Bao cao XDCB 2001 - T11 KH dieu chinh 20-11-THAI" xfId="155" xr:uid="{28B9BFF4-0D30-478B-AAF0-BD31BE7BC40B}"/>
    <cellStyle name="_KT_TG_1_Book1" xfId="156" xr:uid="{7A00EC88-11B1-42C9-B945-ABD2B8F7ACF4}"/>
    <cellStyle name="_KT_TG_1_Book1_1" xfId="157" xr:uid="{A25D8889-E6E3-4E0D-9EAD-EA0DC6BBCCA6}"/>
    <cellStyle name="_KT_TG_1_Book1_2" xfId="158" xr:uid="{91AE24F3-BC03-46DF-A532-342F87597F79}"/>
    <cellStyle name="_KT_TG_1_Book1_3" xfId="159" xr:uid="{0F38334B-4E8A-4DEF-B62A-AAFBA71A4AB5}"/>
    <cellStyle name="_KT_TG_1_Book1_4" xfId="160" xr:uid="{E69AB283-10E4-4911-AF04-0C047F1860BB}"/>
    <cellStyle name="_KT_TG_1_Book1_BC-QT-WB-dthao" xfId="161" xr:uid="{E55F178F-E46A-4763-95E8-7B8D54D645F4}"/>
    <cellStyle name="_KT_TG_1_DTCDT MR.2N110.HOCMON.TDTOAN.CCUNG" xfId="162" xr:uid="{316EC8D9-0C79-48FF-B2C3-D2977E8B6631}"/>
    <cellStyle name="_KT_TG_1_Lora-tungchau" xfId="163" xr:uid="{74B6628D-DC23-41F8-AB41-08D413D636F9}"/>
    <cellStyle name="_KT_TG_1_PGIA-phieu tham tra Kho bac" xfId="164" xr:uid="{22DB9DB6-E2D8-4F3F-AAB0-AB000FE8E7DF}"/>
    <cellStyle name="_KT_TG_1_PT02-02" xfId="165" xr:uid="{CA146BB6-63A4-4A0F-88E0-735A20682A18}"/>
    <cellStyle name="_KT_TG_1_PT02-02_Book1" xfId="166" xr:uid="{0076F9D6-3D6C-4BD7-B828-3E06B28FEA37}"/>
    <cellStyle name="_KT_TG_1_PT02-03" xfId="167" xr:uid="{E746D608-056A-4874-8AA5-3DF7F85D7F58}"/>
    <cellStyle name="_KT_TG_1_PT02-03_Book1" xfId="168" xr:uid="{A4C52154-CE67-40AD-ABF6-3EA4EFD11B39}"/>
    <cellStyle name="_KT_TG_1_Qt-HT3PQ1(CauKho)" xfId="169" xr:uid="{36A16CA8-3F1B-4F35-AFCE-8EC67C62E78C}"/>
    <cellStyle name="_KT_TG_2" xfId="170" xr:uid="{28A1338E-DF9F-459C-9F25-01CCEAAB84DC}"/>
    <cellStyle name="_KT_TG_2_BAO CAO KLCT PT2000" xfId="171" xr:uid="{05DB378D-1613-4D6C-BE59-DEA9B6471DBA}"/>
    <cellStyle name="_KT_TG_2_BAO CAO PT2000" xfId="172" xr:uid="{C83CF460-6156-4E6F-A758-9955B11E8CC5}"/>
    <cellStyle name="_KT_TG_2_BAO CAO PT2000_Book1" xfId="173" xr:uid="{39D12F25-7892-4B31-B85D-085B02D747F3}"/>
    <cellStyle name="_KT_TG_2_Bao cao XDCB 2001 - T11 KH dieu chinh 20-11-THAI" xfId="174" xr:uid="{C7AD8487-5C2C-4ADE-81F2-A10547279785}"/>
    <cellStyle name="_KT_TG_2_Book1" xfId="175" xr:uid="{651C6477-B6F4-4FEC-9726-020F8457CF2E}"/>
    <cellStyle name="_KT_TG_2_Book1_1" xfId="176" xr:uid="{656B3087-0242-45B3-BF2A-FD3C909A5C88}"/>
    <cellStyle name="_KT_TG_2_Book1_2" xfId="177" xr:uid="{CB756AF8-B43C-4843-B7BA-1169FAD8717E}"/>
    <cellStyle name="_KT_TG_2_Book1_3" xfId="178" xr:uid="{510F7773-3C30-412E-9F41-757643519996}"/>
    <cellStyle name="_KT_TG_2_Book1_4" xfId="179" xr:uid="{87A07229-1EB0-4633-AC99-B261B37C1DED}"/>
    <cellStyle name="_KT_TG_2_DTCDT MR.2N110.HOCMON.TDTOAN.CCUNG" xfId="180" xr:uid="{9949A01B-6B97-4505-B6DE-922CA005B564}"/>
    <cellStyle name="_KT_TG_2_Lora-tungchau" xfId="181" xr:uid="{226524BB-B3E8-42B8-BD70-5C1611F63CA4}"/>
    <cellStyle name="_KT_TG_2_PGIA-phieu tham tra Kho bac" xfId="182" xr:uid="{F0CEC034-9223-4B1C-A61D-2BDDB0AB0709}"/>
    <cellStyle name="_KT_TG_2_PT02-02" xfId="183" xr:uid="{1EA43425-5966-4DB2-9A8B-B093AD5B6779}"/>
    <cellStyle name="_KT_TG_2_PT02-02_Book1" xfId="184" xr:uid="{677C9BA0-DE02-44DE-A0AD-656CED899A2B}"/>
    <cellStyle name="_KT_TG_2_PT02-03" xfId="185" xr:uid="{3872E38C-D9AA-4725-BA80-7FF413C0002D}"/>
    <cellStyle name="_KT_TG_2_PT02-03_Book1" xfId="186" xr:uid="{A62E02D0-5CDD-444C-A303-DBBC58D38C51}"/>
    <cellStyle name="_KT_TG_2_Qt-HT3PQ1(CauKho)" xfId="187" xr:uid="{6AE609EF-FF71-4474-9E5F-D392CAAE8DFC}"/>
    <cellStyle name="_KT_TG_3" xfId="188" xr:uid="{6AE47F07-E8FD-4E1A-8BC8-3432192B18A2}"/>
    <cellStyle name="_KT_TG_4" xfId="189" xr:uid="{308215B8-CF2C-41B3-AF3C-59EBC006B2DF}"/>
    <cellStyle name="_KT_TG_4_Lora-tungchau" xfId="190" xr:uid="{84C249F9-8E15-472C-BEC6-9144340B98FB}"/>
    <cellStyle name="_KT_TG_4_Qt-HT3PQ1(CauKho)" xfId="191" xr:uid="{B1C1D892-B30A-4869-A000-86AEE42FD051}"/>
    <cellStyle name="_Lora-tungchau" xfId="192" xr:uid="{0D6EB7EE-95D9-4E52-8D58-61BBD9F26F21}"/>
    <cellStyle name="_PERSONAL" xfId="193" xr:uid="{E8CC3871-6246-41CD-848C-B02EC1048E05}"/>
    <cellStyle name="_PERSONAL_HTQ.8 GD1" xfId="194" xr:uid="{487E9A82-2AAC-447F-A6A4-41E393D17268}"/>
    <cellStyle name="_PERSONAL_Tong hop KHCB 2001" xfId="195" xr:uid="{4C353EDE-ED61-4396-83C3-511F5CA0ECBC}"/>
    <cellStyle name="_Qt-HT3PQ1(CauKho)" xfId="196" xr:uid="{A2443F84-6A76-4154-9CAC-1F8D3EC640D8}"/>
    <cellStyle name="_TG-TH" xfId="197" xr:uid="{B10F1524-2527-49ED-A8B9-9066856A3697}"/>
    <cellStyle name="_TG-TH_1" xfId="198" xr:uid="{4EE56743-522A-4162-BF76-FE358A552FEB}"/>
    <cellStyle name="_TG-TH_1_BAO CAO KLCT PT2000" xfId="199" xr:uid="{04C0A644-4B27-43F5-8BE9-E095B91E830C}"/>
    <cellStyle name="_TG-TH_1_BAO CAO PT2000" xfId="200" xr:uid="{33DF3BD8-2D27-4E41-8F46-C4D392ACC61C}"/>
    <cellStyle name="_TG-TH_1_BAO CAO PT2000_Book1" xfId="201" xr:uid="{A1B3ECAE-81CA-41B9-A193-C8604B56EC30}"/>
    <cellStyle name="_TG-TH_1_Bao cao XDCB 2001 - T11 KH dieu chinh 20-11-THAI" xfId="202" xr:uid="{077541F5-F0E7-443D-BE17-F8D265B6ADA3}"/>
    <cellStyle name="_TG-TH_1_Book1" xfId="203" xr:uid="{530E8FE1-A7EA-4B97-B993-7E2E84F39466}"/>
    <cellStyle name="_TG-TH_1_Book1_1" xfId="204" xr:uid="{A31D2EFC-6AE7-4481-BB75-5772D3DB2967}"/>
    <cellStyle name="_TG-TH_1_Book1_2" xfId="205" xr:uid="{506DF284-E04A-4B28-9644-3FA193EF3B67}"/>
    <cellStyle name="_TG-TH_1_Book1_3" xfId="206" xr:uid="{46729BAC-DE40-47E1-8C8D-5E6BAF853406}"/>
    <cellStyle name="_TG-TH_1_Book1_4" xfId="207" xr:uid="{79F184AE-50BB-4B99-8D05-94984AAE4E50}"/>
    <cellStyle name="_TG-TH_1_Book1_BC-QT-WB-dthao" xfId="208" xr:uid="{6D896040-4DAA-4AE3-99A4-C548AA1765A1}"/>
    <cellStyle name="_TG-TH_1_DTCDT MR.2N110.HOCMON.TDTOAN.CCUNG" xfId="209" xr:uid="{EECF3C6A-DB61-444C-824C-3C4D6E74C095}"/>
    <cellStyle name="_TG-TH_1_Lora-tungchau" xfId="210" xr:uid="{7FB66019-0230-4F0B-9CB4-54C085E3B16C}"/>
    <cellStyle name="_TG-TH_1_PGIA-phieu tham tra Kho bac" xfId="211" xr:uid="{1AFA40CF-5497-4C55-9894-A4076A082AD1}"/>
    <cellStyle name="_TG-TH_1_PT02-02" xfId="212" xr:uid="{78E1A245-ADE9-40DB-9118-125D9C82F966}"/>
    <cellStyle name="_TG-TH_1_PT02-02_Book1" xfId="213" xr:uid="{00FAF09B-CDC7-47CC-A902-D17700713E14}"/>
    <cellStyle name="_TG-TH_1_PT02-03" xfId="214" xr:uid="{6DE1AAC4-04AF-4E20-B754-3CB3A1F950E0}"/>
    <cellStyle name="_TG-TH_1_PT02-03_Book1" xfId="215" xr:uid="{B3E272EF-8829-47A7-8E75-897442F2019E}"/>
    <cellStyle name="_TG-TH_1_Qt-HT3PQ1(CauKho)" xfId="216" xr:uid="{B7703638-1C56-40A7-B2A1-777EB5FD89B0}"/>
    <cellStyle name="_TG-TH_2" xfId="217" xr:uid="{E843E69A-0999-468C-B183-1C83046F1B84}"/>
    <cellStyle name="_TG-TH_2_BAO CAO KLCT PT2000" xfId="218" xr:uid="{375035A1-B798-40ED-AC0D-F81C9B0171A8}"/>
    <cellStyle name="_TG-TH_2_BAO CAO PT2000" xfId="219" xr:uid="{15CD04D6-2254-4522-9BF4-10D94479E27E}"/>
    <cellStyle name="_TG-TH_2_BAO CAO PT2000_Book1" xfId="220" xr:uid="{DF5DB209-D565-478B-B5CF-627FC4B19696}"/>
    <cellStyle name="_TG-TH_2_Bao cao XDCB 2001 - T11 KH dieu chinh 20-11-THAI" xfId="221" xr:uid="{B8278630-7F45-4FC9-BC84-6F183EE34614}"/>
    <cellStyle name="_TG-TH_2_Book1" xfId="222" xr:uid="{73B8507B-3BF3-447B-A9B8-ADD4DEFEC97B}"/>
    <cellStyle name="_TG-TH_2_Book1_1" xfId="223" xr:uid="{E216735D-444E-4D9D-96AD-268F94550124}"/>
    <cellStyle name="_TG-TH_2_Book1_2" xfId="224" xr:uid="{E423E178-F4E3-46BD-8B73-C0FC46433A70}"/>
    <cellStyle name="_TG-TH_2_Book1_3" xfId="225" xr:uid="{D672A404-A293-443D-8EB9-C0BE00A99432}"/>
    <cellStyle name="_TG-TH_2_Book1_4" xfId="226" xr:uid="{76E2E12A-75B0-4421-909B-4C293C2BF461}"/>
    <cellStyle name="_TG-TH_2_DTCDT MR.2N110.HOCMON.TDTOAN.CCUNG" xfId="227" xr:uid="{D233D015-AD9C-40B7-9EDB-8484516D27B5}"/>
    <cellStyle name="_TG-TH_2_Lora-tungchau" xfId="228" xr:uid="{87BD7BB5-5BA3-4A8A-84E9-DE2952278B76}"/>
    <cellStyle name="_TG-TH_2_PGIA-phieu tham tra Kho bac" xfId="229" xr:uid="{8E6EBF26-B3CA-4BC0-ACD7-BAAA10802840}"/>
    <cellStyle name="_TG-TH_2_PT02-02" xfId="230" xr:uid="{00B24DBF-AB19-4267-9FBD-F1D2EA55AB65}"/>
    <cellStyle name="_TG-TH_2_PT02-02_Book1" xfId="231" xr:uid="{B3C74B02-0AD5-4D4B-8EFF-ED889D25831B}"/>
    <cellStyle name="_TG-TH_2_PT02-03" xfId="232" xr:uid="{8AB4F167-A41B-47D8-AE97-74B21ECCD96D}"/>
    <cellStyle name="_TG-TH_2_PT02-03_Book1" xfId="233" xr:uid="{3B382E00-1943-4D2E-827A-C0D078BC289E}"/>
    <cellStyle name="_TG-TH_2_Qt-HT3PQ1(CauKho)" xfId="234" xr:uid="{27A294C5-CDA6-448E-A896-A9E69B9728FE}"/>
    <cellStyle name="_TG-TH_3" xfId="235" xr:uid="{D63944AA-0507-44F5-B309-4E03AA7A77DA}"/>
    <cellStyle name="_TG-TH_3_Lora-tungchau" xfId="236" xr:uid="{B29EBC8B-6D03-45C5-A465-86FB4FDA282B}"/>
    <cellStyle name="_TG-TH_3_Qt-HT3PQ1(CauKho)" xfId="237" xr:uid="{5E90AFA9-46CD-426D-8A1B-71C31537C1B5}"/>
    <cellStyle name="_TG-TH_4" xfId="238" xr:uid="{976A4D1A-93C8-45EF-B68A-0F1AAE7CDC5D}"/>
    <cellStyle name="•W€_STDFOR" xfId="239" xr:uid="{EC0C4A6D-DA57-40C8-9F4E-F4A1DC2589D4}"/>
    <cellStyle name="¹éºÐÀ²_      " xfId="240" xr:uid="{53E2262B-0B36-4F21-85F7-1826C0A17B75}"/>
    <cellStyle name="20% - Accent1 2" xfId="383" xr:uid="{604B948F-4E6B-47B3-B241-A9031014617F}"/>
    <cellStyle name="20% - Accent2 2" xfId="384" xr:uid="{714B0E76-8F47-4048-9228-33ACF8238932}"/>
    <cellStyle name="20% - Accent3 2" xfId="385" xr:uid="{59EA54C1-690A-466F-924A-1FD61399DBF6}"/>
    <cellStyle name="20% - Accent4 2" xfId="386" xr:uid="{C2C20DB4-CD07-497B-80F7-9C3D2B3EF0E3}"/>
    <cellStyle name="20% - Accent5 2" xfId="387" xr:uid="{66CC95AB-ACC0-4BCF-ADB1-39EE54F823CC}"/>
    <cellStyle name="20% - Accent6 2" xfId="388" xr:uid="{9F708200-7CBD-41E1-990E-FBAE2327F3D4}"/>
    <cellStyle name="40% - Accent1 2" xfId="389" xr:uid="{C433CDDB-B765-48D0-B3EC-11069031A7D1}"/>
    <cellStyle name="40% - Accent2 2" xfId="390" xr:uid="{B9B4065E-E24B-4EB2-BA46-CDB1868123CD}"/>
    <cellStyle name="40% - Accent3 2" xfId="391" xr:uid="{C098962A-DD3D-4CDD-8384-9840FA45087C}"/>
    <cellStyle name="40% - Accent4 2" xfId="392" xr:uid="{FE68F930-E2A1-4DB1-B70D-3EE3D71D069A}"/>
    <cellStyle name="40% - Accent5 2" xfId="393" xr:uid="{BF9EE306-FF5C-4E2B-88A5-08C0AD9693AF}"/>
    <cellStyle name="40% - Accent6 2" xfId="394" xr:uid="{2B92845F-2746-483C-A690-D7BBB0AD1077}"/>
    <cellStyle name="60% - Accent1 2" xfId="395" xr:uid="{5391946A-3481-47FB-97CB-EA1F4FB2FA3C}"/>
    <cellStyle name="60% - Accent2 2" xfId="396" xr:uid="{795681A9-B089-4DC8-B104-594E08F5F9CF}"/>
    <cellStyle name="60% - Accent3 2" xfId="397" xr:uid="{B6925B75-89B5-436A-9E6E-C8C3F684664E}"/>
    <cellStyle name="60% - Accent4 2" xfId="398" xr:uid="{14CCD27A-5A1B-4AD1-9F40-FE3C42FE0498}"/>
    <cellStyle name="60% - Accent5 2" xfId="399" xr:uid="{EF5BA7C3-3275-463C-91A4-1F5B2441CFCC}"/>
    <cellStyle name="60% - Accent6 2" xfId="400" xr:uid="{0FD59430-956B-4CFC-BC27-91E9CBF05217}"/>
    <cellStyle name="Accent1 2" xfId="401" xr:uid="{880861A4-22D7-46BB-8D06-5BD2C58FFF9D}"/>
    <cellStyle name="Accent2 2" xfId="402" xr:uid="{71CD1A23-6A32-4DAA-9009-ABB57A215AAA}"/>
    <cellStyle name="Accent3 2" xfId="403" xr:uid="{0DD861D6-1C5A-4961-BB9C-C963D2FFB428}"/>
    <cellStyle name="Accent4 2" xfId="404" xr:uid="{B282BFDE-8134-47A1-A281-405235FBE202}"/>
    <cellStyle name="Accent5 2" xfId="405" xr:uid="{FF012E16-1361-46CC-8044-BF84BDD5ABAF}"/>
    <cellStyle name="Accent6 2" xfId="406" xr:uid="{54AC2D84-BFE1-4453-8E0A-EA20D557CFE2}"/>
    <cellStyle name="ÅëÈ­ [0]_      " xfId="241" xr:uid="{03FD3AB3-4BA9-47EB-A8B0-6A528FF36EAE}"/>
    <cellStyle name="AeE­ [0]_INQUIRY ¿?¾÷AßAø " xfId="242" xr:uid="{A79A78A5-726B-4779-98DD-84B947769212}"/>
    <cellStyle name="ÅëÈ­_      " xfId="243" xr:uid="{94B5836C-519B-4FED-BA81-78A6A28DB923}"/>
    <cellStyle name="AeE­_INQUIRY ¿?¾÷AßAø " xfId="244" xr:uid="{9A6DAA99-0D2C-4913-9843-06A52985DD72}"/>
    <cellStyle name="ÅëÈ­_L601CPT" xfId="245" xr:uid="{E36B2F8C-5D73-438E-BD3E-CAF9854A5055}"/>
    <cellStyle name="ÄÞ¸¶ [0]_      " xfId="246" xr:uid="{A0EFD3CE-6134-4D82-9A3D-D3F1B2A0EBB2}"/>
    <cellStyle name="AÞ¸¶ [0]_INQUIRY ¿?¾÷AßAø " xfId="247" xr:uid="{C3924DF7-6137-4977-AF2F-4AA89F622D68}"/>
    <cellStyle name="ÄÞ¸¶ [0]_L601CPT" xfId="248" xr:uid="{E318FB26-6057-455F-883E-3150107828F4}"/>
    <cellStyle name="ÄÞ¸¶_      " xfId="249" xr:uid="{244E033C-C32C-4D10-8828-8E2E6431CAC5}"/>
    <cellStyle name="AÞ¸¶_INQUIRY ¿?¾÷AßAø " xfId="250" xr:uid="{20029242-C3D4-474A-A44B-43D1337C8723}"/>
    <cellStyle name="ÄÞ¸¶_L601CPT" xfId="251" xr:uid="{25A240F4-E349-42BB-B4EC-8058BDC24190}"/>
    <cellStyle name="AutoFormat Options" xfId="252" xr:uid="{2157DC7B-E817-442C-BD14-ED3BF61487DE}"/>
    <cellStyle name="Bad 2" xfId="407" xr:uid="{64A7AA6D-0556-4941-8D34-AF38282FCA3D}"/>
    <cellStyle name="C?AØ_¿?¾÷CoE² " xfId="253" xr:uid="{7A72EE5E-2415-4930-B623-274184637937}"/>
    <cellStyle name="Ç¥ÁØ_      " xfId="254" xr:uid="{364FB524-DBCF-44C1-B4B1-4ED33643EFC9}"/>
    <cellStyle name="C￥AØ_¿μ¾÷CoE² " xfId="255" xr:uid="{FB98334D-167E-4960-8CE7-F624B7EC2809}"/>
    <cellStyle name="Ç¥ÁØ_±¸¹Ì´ëÃ¥" xfId="256" xr:uid="{3FCC407A-C659-4E7B-BB3B-FA65C2B181CC}"/>
    <cellStyle name="Calculation 2" xfId="408" xr:uid="{18D3D6A6-8119-471F-8A51-54E864061184}"/>
    <cellStyle name="Calculation 2 2" xfId="454" xr:uid="{A39EC9C8-EA5B-4B92-A5EC-51FE6DE5EE97}"/>
    <cellStyle name="Calculation 2 2 10" xfId="614" xr:uid="{AA08CD1A-FE1A-4A09-9FC7-A902607DF179}"/>
    <cellStyle name="Calculation 2 2 11" xfId="627" xr:uid="{E420C267-84AA-4B9A-88E2-181BB1948FAD}"/>
    <cellStyle name="Calculation 2 2 12" xfId="640" xr:uid="{3663BB50-5AA4-462D-959C-AC96C91D1D96}"/>
    <cellStyle name="Calculation 2 2 13" xfId="653" xr:uid="{D38FBD82-83CD-4FB7-9314-0FCB7209D004}"/>
    <cellStyle name="Calculation 2 2 14" xfId="666" xr:uid="{1A784B90-2F00-4D7C-9BB1-D6F47FBC2190}"/>
    <cellStyle name="Calculation 2 2 15" xfId="679" xr:uid="{CD0ECBB5-5A75-4DE1-8FA7-267504FF6A80}"/>
    <cellStyle name="Calculation 2 2 16" xfId="692" xr:uid="{9C089579-BB06-45AD-BE8A-02ABF35D1B8D}"/>
    <cellStyle name="Calculation 2 2 17" xfId="483" xr:uid="{8892D9EB-39C6-4D53-A7C8-6A45E75FB836}"/>
    <cellStyle name="Calculation 2 2 18" xfId="706" xr:uid="{6840FFA4-F97F-4188-BED5-AC678F3D9453}"/>
    <cellStyle name="Calculation 2 2 19" xfId="719" xr:uid="{C59449D2-EB93-43B0-B172-7977A99F3717}"/>
    <cellStyle name="Calculation 2 2 2" xfId="519" xr:uid="{6C866676-7564-4530-B858-0BC30B48BE1A}"/>
    <cellStyle name="Calculation 2 2 20" xfId="732" xr:uid="{E5764399-A45D-4854-A554-7424C99F7C1A}"/>
    <cellStyle name="Calculation 2 2 21" xfId="745" xr:uid="{6AD84B30-AC7D-4CE2-8AE9-D2C758450A88}"/>
    <cellStyle name="Calculation 2 2 22" xfId="758" xr:uid="{81F014A3-3775-465C-90A6-460B3C47168A}"/>
    <cellStyle name="Calculation 2 2 23" xfId="771" xr:uid="{75BAACEF-5AC4-4750-8E2E-6BD7C775D70A}"/>
    <cellStyle name="Calculation 2 2 24" xfId="784" xr:uid="{AF174687-2BC4-41E1-9764-13A0A8181966}"/>
    <cellStyle name="Calculation 2 2 25" xfId="797" xr:uid="{5C5EC07A-6995-4A19-80B6-346D82A23281}"/>
    <cellStyle name="Calculation 2 2 26" xfId="810" xr:uid="{47794C3B-C243-4B26-9B60-84A3A568CB0A}"/>
    <cellStyle name="Calculation 2 2 27" xfId="823" xr:uid="{B85AB89C-F91C-4583-9E95-FB41C71FC296}"/>
    <cellStyle name="Calculation 2 2 28" xfId="836" xr:uid="{A6374007-3E82-41FB-B6CF-38D48275B2EF}"/>
    <cellStyle name="Calculation 2 2 29" xfId="849" xr:uid="{DEDE21CE-0723-4932-90F1-E8A597B66268}"/>
    <cellStyle name="Calculation 2 2 3" xfId="532" xr:uid="{0815BF4B-A644-467F-A13D-AF39AC3FC560}"/>
    <cellStyle name="Calculation 2 2 4" xfId="545" xr:uid="{B8F8F917-5241-46BF-973B-0C55A3212A55}"/>
    <cellStyle name="Calculation 2 2 5" xfId="559" xr:uid="{C2189AC6-E229-422B-BB72-D8DFA8580A7B}"/>
    <cellStyle name="Calculation 2 2 6" xfId="572" xr:uid="{1EDDF0BE-C72A-468B-A206-A031D8D4D09D}"/>
    <cellStyle name="Calculation 2 2 7" xfId="585" xr:uid="{308DE3E3-A73F-4239-8C6D-84477A4D4986}"/>
    <cellStyle name="Calculation 2 2 8" xfId="600" xr:uid="{86DBE5F5-439B-4EAB-8DF3-CC00E5F3F5E5}"/>
    <cellStyle name="Calculation 2 2 9" xfId="480" xr:uid="{F8A1535D-9EC2-444A-B7C5-7D76912EC224}"/>
    <cellStyle name="category" xfId="257" xr:uid="{FF48B18D-162F-4BE3-A63F-E4BF60FB0B59}"/>
    <cellStyle name="Cerrency_Sheet2_XANGDAU" xfId="258" xr:uid="{6451C29E-3D81-4EFA-AD35-2E15CB9AF8F7}"/>
    <cellStyle name="Comma 2" xfId="6" xr:uid="{3B22AA38-A698-4859-9241-A167AD244F45}"/>
    <cellStyle name="Comma 2 2" xfId="440" xr:uid="{B421DD31-48CF-4F7D-B308-882FD8D11D9F}"/>
    <cellStyle name="Comma 2 3" xfId="444" xr:uid="{10710778-0640-49C8-B515-10381CE7CB9C}"/>
    <cellStyle name="Comma 3" xfId="12" xr:uid="{F15B38C5-26B6-44E8-BEF8-BE256FAA59A1}"/>
    <cellStyle name="Comma 4" xfId="25" xr:uid="{D98D00D0-4098-433C-BC0F-6809A3560159}"/>
    <cellStyle name="Comma 5" xfId="410" xr:uid="{CB674CE1-D1AC-4BB6-93A3-495EC30A3FB6}"/>
    <cellStyle name="Comma 6" xfId="379" xr:uid="{328B9ECF-B65B-48D8-962B-D55B5790AEC5}"/>
    <cellStyle name="Comma0" xfId="26" xr:uid="{05867D4D-F0EB-4C29-94D4-B1A707386904}"/>
    <cellStyle name="Currency0" xfId="27" xr:uid="{0493CC15-CF20-4251-9C07-B183559AB399}"/>
    <cellStyle name="Check Cell 2" xfId="409" xr:uid="{F2B762A9-B097-4262-9AA0-D7A3A52AC0DA}"/>
    <cellStyle name="Date" xfId="28" xr:uid="{487F299F-FBC9-455D-B342-ED24BFA5B331}"/>
    <cellStyle name="Dezimal [0]_UXO VII" xfId="259" xr:uid="{1B4334B5-3AE6-49BB-8313-38FFED1B54E5}"/>
    <cellStyle name="Dezimal_UXO VII" xfId="260" xr:uid="{905EF6A6-CCA7-4381-B647-0091A9070733}"/>
    <cellStyle name="Explanatory Text 2" xfId="411" xr:uid="{16541EEE-1FE7-49F7-B9B8-EC6D39E6E282}"/>
    <cellStyle name="Fixed" xfId="29" xr:uid="{784D6FB9-4310-489C-9095-07590E4E06D9}"/>
    <cellStyle name="Good 2" xfId="412" xr:uid="{3754034E-35B6-4FFF-9100-2C1AE6E14DF3}"/>
    <cellStyle name="Grey" xfId="261" xr:uid="{2D3F7CC2-02E3-4CCF-A907-EA82BA0E0D46}"/>
    <cellStyle name="Group" xfId="262" xr:uid="{E74F2905-F7E0-4740-B7BB-556B7AFBFD25}"/>
    <cellStyle name="HEADER" xfId="263" xr:uid="{86A54AA3-864D-45A4-AF12-D89B3837D835}"/>
    <cellStyle name="Header1" xfId="30" xr:uid="{DE412FA6-AF7C-44F8-B7AE-6EDAF3B5024C}"/>
    <cellStyle name="Header2" xfId="31" xr:uid="{7C7B5E27-7B1B-4543-89E5-388F7E148834}"/>
    <cellStyle name="Header2 2" xfId="459" xr:uid="{99352D73-591B-4DBC-A584-9BA9B139CABD}"/>
    <cellStyle name="Header2 2 10" xfId="619" xr:uid="{E9358C02-D618-485C-B49A-F60934BB67B4}"/>
    <cellStyle name="Header2 2 11" xfId="632" xr:uid="{5C58D7EF-05A0-4CA6-A0B3-0D0428A124F3}"/>
    <cellStyle name="Header2 2 12" xfId="645" xr:uid="{64EF17D3-576A-4147-BE00-9A05372FE7AA}"/>
    <cellStyle name="Header2 2 13" xfId="658" xr:uid="{0BA01C34-7AE3-4061-906E-2E2DB38F574F}"/>
    <cellStyle name="Header2 2 14" xfId="671" xr:uid="{A6E52C4F-DE4C-4276-9C56-81AE13E9FFE4}"/>
    <cellStyle name="Header2 2 15" xfId="684" xr:uid="{30BFF61F-4184-4AAF-8391-CA56C48C187A}"/>
    <cellStyle name="Header2 2 16" xfId="697" xr:uid="{0B35954E-1C88-41BA-8417-764249AB3A34}"/>
    <cellStyle name="Header2 2 17" xfId="488" xr:uid="{F3F8CB82-54EB-4331-87F8-EFCA897ECB88}"/>
    <cellStyle name="Header2 2 18" xfId="711" xr:uid="{210E559C-FBB3-4804-8DDB-41B41B221AE6}"/>
    <cellStyle name="Header2 2 19" xfId="724" xr:uid="{767E49FA-7316-4868-A13B-2D1A0194810A}"/>
    <cellStyle name="Header2 2 2" xfId="524" xr:uid="{56999DA5-B0F0-4612-9BBD-47B5898C3B7F}"/>
    <cellStyle name="Header2 2 20" xfId="737" xr:uid="{A60C0B8B-3DA0-4E74-80C3-AA32ADA007F1}"/>
    <cellStyle name="Header2 2 21" xfId="750" xr:uid="{8808CA23-5ADA-402E-B0A4-A06F8A14D77C}"/>
    <cellStyle name="Header2 2 22" xfId="763" xr:uid="{F4148B32-DA9C-475D-9C1B-69DA8CF0BB27}"/>
    <cellStyle name="Header2 2 23" xfId="776" xr:uid="{CE21F175-376E-433E-A894-D2393EE7A85A}"/>
    <cellStyle name="Header2 2 24" xfId="789" xr:uid="{02653365-451C-4BF8-96D8-91C455A6C79D}"/>
    <cellStyle name="Header2 2 25" xfId="802" xr:uid="{9A6FCA8F-DFDF-4C09-8506-FA66FDAD15C4}"/>
    <cellStyle name="Header2 2 26" xfId="815" xr:uid="{8F6C286C-A2BE-4BB4-8D1F-4248AFB14062}"/>
    <cellStyle name="Header2 2 27" xfId="828" xr:uid="{64DFC0A4-161F-490D-9198-1AA03BC7B8A6}"/>
    <cellStyle name="Header2 2 28" xfId="841" xr:uid="{B47C192E-F517-400D-9056-BD9CBC357A2C}"/>
    <cellStyle name="Header2 2 29" xfId="854" xr:uid="{9E611B35-ED4B-4FE6-87AE-6FD0E3F7FFB0}"/>
    <cellStyle name="Header2 2 3" xfId="537" xr:uid="{4D7BB8EA-7B71-41F4-B62B-90E36D310EB1}"/>
    <cellStyle name="Header2 2 4" xfId="550" xr:uid="{686FF2A0-83A6-4EE2-8AC2-E42748871479}"/>
    <cellStyle name="Header2 2 5" xfId="564" xr:uid="{42C1DD16-3026-4D6C-AE13-7985E04EE229}"/>
    <cellStyle name="Header2 2 6" xfId="577" xr:uid="{C2002818-5EEB-4BED-B8B7-887BFA171D84}"/>
    <cellStyle name="Header2 2 7" xfId="590" xr:uid="{79676314-E364-4F61-85FD-6B89FE4AED74}"/>
    <cellStyle name="Header2 2 8" xfId="605" xr:uid="{3BCB37F0-3E91-4A83-900B-2D0ED1F785C8}"/>
    <cellStyle name="Header2 2 9" xfId="463" xr:uid="{676FE469-CF3E-43AE-A0B0-E7E1E7FA3086}"/>
    <cellStyle name="Heading 1 2" xfId="32" xr:uid="{20B663DB-EFB5-4120-B6F3-069CD09D65E6}"/>
    <cellStyle name="Heading 1 3" xfId="413" xr:uid="{532A2D17-638C-4B49-B92B-10728B12116E}"/>
    <cellStyle name="Heading 2 2" xfId="33" xr:uid="{25138220-357B-4CF8-A337-5293A5DEAA03}"/>
    <cellStyle name="Heading 2 3" xfId="414" xr:uid="{B33F9E8D-DDCF-4D21-9008-8D5F0BED6EF3}"/>
    <cellStyle name="Heading 3 2" xfId="415" xr:uid="{2FC30884-01F0-4C96-B38C-F20192725F34}"/>
    <cellStyle name="Heading 4 2" xfId="416" xr:uid="{EBFD7636-BB7D-4530-BB25-3883D0647FC2}"/>
    <cellStyle name="Heading1" xfId="264" xr:uid="{9693EA2F-630C-4F79-B425-C872D09BEDB0}"/>
    <cellStyle name="Heading2" xfId="265" xr:uid="{756D944F-C7A8-4D00-8BFF-488F2736368D}"/>
    <cellStyle name="i·0" xfId="266" xr:uid="{9EE7DE6A-6154-49C1-AFE0-A044A9B53546}"/>
    <cellStyle name="Input [yellow]" xfId="267" xr:uid="{656B7DF2-2DC8-42ED-8AF8-413C258B8E97}"/>
    <cellStyle name="Input [yellow] 2" xfId="458" xr:uid="{6BE112CA-A45A-43DD-AA44-2EF72F3755E2}"/>
    <cellStyle name="Input [yellow] 2 10" xfId="618" xr:uid="{C50D3C72-D1D0-4127-AC91-A8E05252473B}"/>
    <cellStyle name="Input [yellow] 2 11" xfId="631" xr:uid="{FE1B25EB-7811-407D-BCC6-01F2E4FAB086}"/>
    <cellStyle name="Input [yellow] 2 12" xfId="644" xr:uid="{62FD25C5-455A-4411-A6A0-4F780E9D3FF1}"/>
    <cellStyle name="Input [yellow] 2 13" xfId="657" xr:uid="{909E7775-BFA7-40EF-B275-636BC319C4EF}"/>
    <cellStyle name="Input [yellow] 2 14" xfId="670" xr:uid="{5DC435CC-EB63-44B6-8D22-D242E2FE5BC2}"/>
    <cellStyle name="Input [yellow] 2 15" xfId="683" xr:uid="{329FFAFB-C075-469D-8EA9-0F966D97BFE3}"/>
    <cellStyle name="Input [yellow] 2 16" xfId="696" xr:uid="{599F0E75-5B63-49D9-A228-8887CA6EE3FE}"/>
    <cellStyle name="Input [yellow] 2 17" xfId="469" xr:uid="{177FFA51-3BB0-4B57-AB36-BB9BE15FEA45}"/>
    <cellStyle name="Input [yellow] 2 18" xfId="710" xr:uid="{68D4EF6C-F119-4936-BCDB-C3304883BAD0}"/>
    <cellStyle name="Input [yellow] 2 19" xfId="723" xr:uid="{FBB82D2A-0C9E-4088-872E-EDC32D2CFF35}"/>
    <cellStyle name="Input [yellow] 2 2" xfId="523" xr:uid="{23D206B3-7E15-47EF-81A1-79A30B4BCCBB}"/>
    <cellStyle name="Input [yellow] 2 20" xfId="736" xr:uid="{7EB42A0B-2330-4A36-BC84-D5A435B7FDBB}"/>
    <cellStyle name="Input [yellow] 2 21" xfId="749" xr:uid="{F3627475-6971-43BE-BEFD-3EDC0A49F556}"/>
    <cellStyle name="Input [yellow] 2 22" xfId="762" xr:uid="{ABD5068D-0F69-4F48-9323-22D35D1A5D07}"/>
    <cellStyle name="Input [yellow] 2 23" xfId="775" xr:uid="{25EB213E-64BA-4543-A3A7-78AB081DE386}"/>
    <cellStyle name="Input [yellow] 2 24" xfId="788" xr:uid="{CBBF3F80-FE92-48AA-8347-AB0258004F42}"/>
    <cellStyle name="Input [yellow] 2 25" xfId="801" xr:uid="{EF091DC3-05C0-4026-9F83-356E34F2540A}"/>
    <cellStyle name="Input [yellow] 2 26" xfId="814" xr:uid="{6A552ABA-6139-4398-ABF8-9011A0C4611D}"/>
    <cellStyle name="Input [yellow] 2 27" xfId="827" xr:uid="{629BA9A1-7A31-45EC-AA22-6D869E73A216}"/>
    <cellStyle name="Input [yellow] 2 28" xfId="840" xr:uid="{856A606B-50A2-411A-B871-FC6DBE8D3521}"/>
    <cellStyle name="Input [yellow] 2 29" xfId="853" xr:uid="{F6C852F8-1808-4B2D-AF5B-3CF2BF656CF9}"/>
    <cellStyle name="Input [yellow] 2 3" xfId="536" xr:uid="{18EE8E87-785B-4934-AA71-E8A275C739AC}"/>
    <cellStyle name="Input [yellow] 2 4" xfId="549" xr:uid="{BEC2B94E-5765-43D1-BA2B-EE80774F1A4A}"/>
    <cellStyle name="Input [yellow] 2 5" xfId="563" xr:uid="{095C6899-F7BF-425D-95E2-CCC7D9020097}"/>
    <cellStyle name="Input [yellow] 2 6" xfId="576" xr:uid="{2095B485-DBAA-4903-8723-7BE4D4957909}"/>
    <cellStyle name="Input [yellow] 2 7" xfId="589" xr:uid="{04E21619-DC92-447D-A35D-9236476BC137}"/>
    <cellStyle name="Input [yellow] 2 8" xfId="604" xr:uid="{AF3A177B-15FF-43B9-90F3-2F3E7ACC128D}"/>
    <cellStyle name="Input [yellow] 2 9" xfId="512" xr:uid="{4A62644F-EC6E-44A3-9BB9-A0D1826BFBF7}"/>
    <cellStyle name="Input 2" xfId="417" xr:uid="{4C3C4C1A-4E1C-45CE-A23C-684FF7399553}"/>
    <cellStyle name="Input 2 2" xfId="453" xr:uid="{0F213061-8915-42B0-950B-A49C2C7A4F97}"/>
    <cellStyle name="Input 2 2 10" xfId="613" xr:uid="{4843801B-FD95-457F-B892-690E62F5FCA3}"/>
    <cellStyle name="Input 2 2 11" xfId="626" xr:uid="{829D5A6A-6471-4F5B-8440-482E0ACE2D4A}"/>
    <cellStyle name="Input 2 2 12" xfId="639" xr:uid="{AB2528EE-417B-4795-9A18-7748FC6E62CF}"/>
    <cellStyle name="Input 2 2 13" xfId="652" xr:uid="{F768FE6A-BD99-469A-A80A-DF2F1453BB6B}"/>
    <cellStyle name="Input 2 2 14" xfId="665" xr:uid="{2F0DF0C5-F56B-46A6-BA44-780D2B94B8F2}"/>
    <cellStyle name="Input 2 2 15" xfId="678" xr:uid="{3039B756-AF5E-4378-B339-E3F464B7EDD7}"/>
    <cellStyle name="Input 2 2 16" xfId="691" xr:uid="{EC08D287-7199-468E-BC80-9C01A92C0BA7}"/>
    <cellStyle name="Input 2 2 17" xfId="485" xr:uid="{AFA283CE-5A29-4BD1-B6A3-7B2A536F0998}"/>
    <cellStyle name="Input 2 2 18" xfId="705" xr:uid="{B0BDB79E-A935-4DC2-B155-B798878E6AE4}"/>
    <cellStyle name="Input 2 2 19" xfId="718" xr:uid="{3A65DF25-0367-479E-A88E-6541016AFD5A}"/>
    <cellStyle name="Input 2 2 2" xfId="518" xr:uid="{A4BA387B-7BC3-4BD3-A0E0-7BC0BD29CC6C}"/>
    <cellStyle name="Input 2 2 20" xfId="731" xr:uid="{1AF1E21E-E557-436D-B424-6B75FCE650D3}"/>
    <cellStyle name="Input 2 2 21" xfId="744" xr:uid="{53C1C4EC-2BD3-470D-B4D8-FCC8C9FB2F5C}"/>
    <cellStyle name="Input 2 2 22" xfId="757" xr:uid="{4BC6AA90-974E-4A3E-997C-2CF1B2ED52D4}"/>
    <cellStyle name="Input 2 2 23" xfId="770" xr:uid="{6A0CA52B-A477-4C33-BEC2-B38EF8198995}"/>
    <cellStyle name="Input 2 2 24" xfId="783" xr:uid="{9271F124-4B96-46C4-A9E8-925C1D6C5D28}"/>
    <cellStyle name="Input 2 2 25" xfId="796" xr:uid="{63B3C87D-88AA-4BC0-8069-5F43A8D86359}"/>
    <cellStyle name="Input 2 2 26" xfId="809" xr:uid="{04526A0E-CFE5-487A-A8F3-A3E6A7F4BCC8}"/>
    <cellStyle name="Input 2 2 27" xfId="822" xr:uid="{EDBB601D-639C-4C35-B0A3-05273C2D5D3B}"/>
    <cellStyle name="Input 2 2 28" xfId="835" xr:uid="{8A402AEA-B5FB-43C4-9573-93E27437642F}"/>
    <cellStyle name="Input 2 2 29" xfId="848" xr:uid="{644E58E7-382A-41D6-B95B-23A201F40299}"/>
    <cellStyle name="Input 2 2 3" xfId="531" xr:uid="{CAA8AE7C-DDDE-4513-BD07-50969D8BF7BB}"/>
    <cellStyle name="Input 2 2 4" xfId="544" xr:uid="{985A5E45-2CD6-414E-AE73-DA13FEA30DA1}"/>
    <cellStyle name="Input 2 2 5" xfId="558" xr:uid="{D5D30830-6542-494E-ABF5-8F321B838AAC}"/>
    <cellStyle name="Input 2 2 6" xfId="571" xr:uid="{154332A0-B7A2-4B7A-BDCD-FB24FC3E6A5E}"/>
    <cellStyle name="Input 2 2 7" xfId="584" xr:uid="{F945504C-3F5F-417E-8F3B-83EB49C62078}"/>
    <cellStyle name="Input 2 2 8" xfId="599" xr:uid="{D270D200-85AD-402E-802E-47FEE72CDFA3}"/>
    <cellStyle name="Input 2 2 9" xfId="507" xr:uid="{222D0F03-C37B-4362-B986-78AF40892E9D}"/>
    <cellStyle name="Input 3" xfId="432" xr:uid="{40107171-1BB7-402C-9692-57FB8C002753}"/>
    <cellStyle name="Input 3 2" xfId="449" xr:uid="{A149026E-CFD7-4C6F-915C-EA117C76F58A}"/>
    <cellStyle name="Input 3 2 10" xfId="609" xr:uid="{6B24F993-4DE2-4976-8C9D-0B68F1ECEC73}"/>
    <cellStyle name="Input 3 2 11" xfId="622" xr:uid="{AFFAA033-291F-48E0-82EF-67F3BC8D78BE}"/>
    <cellStyle name="Input 3 2 12" xfId="635" xr:uid="{B0E110E6-DB9C-4D08-8A3A-93E29B9B1A57}"/>
    <cellStyle name="Input 3 2 13" xfId="648" xr:uid="{EFCA89AD-F295-4FC7-BD4E-AC45BD95D6AC}"/>
    <cellStyle name="Input 3 2 14" xfId="661" xr:uid="{E4D99CE6-BF1D-4E26-B597-34FCBAB34CA7}"/>
    <cellStyle name="Input 3 2 15" xfId="674" xr:uid="{25A81C17-3A19-4E4A-B7E9-CCDB7B4B1133}"/>
    <cellStyle name="Input 3 2 16" xfId="687" xr:uid="{4A814356-21D0-4826-919A-7FE72E576D44}"/>
    <cellStyle name="Input 3 2 17" xfId="508" xr:uid="{1F365DB7-372E-4F25-8E48-0A24D92E5425}"/>
    <cellStyle name="Input 3 2 18" xfId="701" xr:uid="{A3950235-0038-4164-B579-4502661B1FC7}"/>
    <cellStyle name="Input 3 2 19" xfId="714" xr:uid="{9E5EB608-5961-4F20-962C-171E9220EF93}"/>
    <cellStyle name="Input 3 2 2" xfId="514" xr:uid="{F23E909E-930E-4391-9248-51593AB4D910}"/>
    <cellStyle name="Input 3 2 20" xfId="727" xr:uid="{2AC41B9E-D1E1-4D1F-8968-378F9AEF5060}"/>
    <cellStyle name="Input 3 2 21" xfId="740" xr:uid="{08EE82A0-F967-4D75-AA61-690E4BD1328B}"/>
    <cellStyle name="Input 3 2 22" xfId="753" xr:uid="{408F5098-F55E-4E32-951D-B2996A6258A8}"/>
    <cellStyle name="Input 3 2 23" xfId="766" xr:uid="{A1EEC870-D366-423F-87E7-7CA8AD4A60AE}"/>
    <cellStyle name="Input 3 2 24" xfId="779" xr:uid="{4573A83F-FB37-4617-B2AB-80E068F37363}"/>
    <cellStyle name="Input 3 2 25" xfId="792" xr:uid="{798F0735-0C02-4ED3-A265-C732D65BAD1D}"/>
    <cellStyle name="Input 3 2 26" xfId="805" xr:uid="{3DFD1C60-718B-4F3C-888B-DB0C193D9EED}"/>
    <cellStyle name="Input 3 2 27" xfId="818" xr:uid="{B672EF29-BDC2-46FA-A44D-5995DD042D45}"/>
    <cellStyle name="Input 3 2 28" xfId="831" xr:uid="{969DE0C2-42DB-4A2A-8002-931A1BA7370A}"/>
    <cellStyle name="Input 3 2 29" xfId="844" xr:uid="{EEEBCC94-4CD8-4A14-B061-7F77A635C19A}"/>
    <cellStyle name="Input 3 2 3" xfId="527" xr:uid="{94C74952-F826-45A6-B825-310694D15774}"/>
    <cellStyle name="Input 3 2 4" xfId="540" xr:uid="{7709CA09-5C5F-46C4-B7D3-1AB250FD3946}"/>
    <cellStyle name="Input 3 2 5" xfId="554" xr:uid="{57FD8251-EA60-48F4-9A92-0BDCA6BDE0C7}"/>
    <cellStyle name="Input 3 2 6" xfId="567" xr:uid="{B1EBCC35-AEE7-4420-9E05-23D2592E985A}"/>
    <cellStyle name="Input 3 2 7" xfId="580" xr:uid="{FC7F4674-0E68-4AB7-9A41-E81F7B936DE7}"/>
    <cellStyle name="Input 3 2 8" xfId="595" xr:uid="{776712FB-081E-4627-A03A-68AA9807CA8C}"/>
    <cellStyle name="Input 3 2 9" xfId="552" xr:uid="{506BC8B2-2E8F-46D1-80F9-40D163783B5C}"/>
    <cellStyle name="Input 4" xfId="437" xr:uid="{B8661C46-B402-4DB4-A371-A226584BC8A9}"/>
    <cellStyle name="Input 4 2" xfId="448" xr:uid="{3BDEBAB3-01C4-4E21-9B63-34E0A24DD49B}"/>
    <cellStyle name="Input 4 2 10" xfId="608" xr:uid="{EC97666A-CE2D-43E0-B495-9791F5618F03}"/>
    <cellStyle name="Input 4 2 11" xfId="621" xr:uid="{8D497DBD-870A-4E13-9C87-5DFEA037FB29}"/>
    <cellStyle name="Input 4 2 12" xfId="634" xr:uid="{327015A9-1B43-40CB-A39E-F898F7D1C1AE}"/>
    <cellStyle name="Input 4 2 13" xfId="647" xr:uid="{D668719A-B2FE-4E0D-85E3-FB7E4F7F8FFC}"/>
    <cellStyle name="Input 4 2 14" xfId="660" xr:uid="{F408FBBE-3235-486B-8E59-F3C9AA53F7E4}"/>
    <cellStyle name="Input 4 2 15" xfId="673" xr:uid="{0967E569-0ED3-4268-A232-7B0E76A84281}"/>
    <cellStyle name="Input 4 2 16" xfId="686" xr:uid="{1B4E97C7-2DAE-4846-872B-665B3B3BF894}"/>
    <cellStyle name="Input 4 2 17" xfId="503" xr:uid="{D966A333-55E4-42D6-808D-052A11C1681C}"/>
    <cellStyle name="Input 4 2 18" xfId="700" xr:uid="{84ACF4C9-5125-4E30-8EC1-6C98FF2273C2}"/>
    <cellStyle name="Input 4 2 19" xfId="713" xr:uid="{927BDA61-9F99-4C27-872E-F47F5671F5B7}"/>
    <cellStyle name="Input 4 2 2" xfId="513" xr:uid="{F2C0CCC7-2D47-474A-A4A4-A22B33341100}"/>
    <cellStyle name="Input 4 2 20" xfId="726" xr:uid="{1BA43771-972D-4437-B267-544C0D683204}"/>
    <cellStyle name="Input 4 2 21" xfId="739" xr:uid="{E2723E4D-D917-4B06-8CBC-066ABED05000}"/>
    <cellStyle name="Input 4 2 22" xfId="752" xr:uid="{7887000A-0C75-427E-A7A2-201B9FD8E220}"/>
    <cellStyle name="Input 4 2 23" xfId="765" xr:uid="{8C3F44E3-3540-4BA5-872B-937C9B0D7152}"/>
    <cellStyle name="Input 4 2 24" xfId="778" xr:uid="{0803E4F0-73A2-4AE6-9A20-3D59CEF370EC}"/>
    <cellStyle name="Input 4 2 25" xfId="791" xr:uid="{7EAAA7AB-6540-475F-A4FC-C80C4A8B1BDB}"/>
    <cellStyle name="Input 4 2 26" xfId="804" xr:uid="{BA7A5950-00FD-4215-A7DA-9AD4D3F9C669}"/>
    <cellStyle name="Input 4 2 27" xfId="817" xr:uid="{398AF57F-B9C1-43C9-B73A-AF6BDE7EAEFF}"/>
    <cellStyle name="Input 4 2 28" xfId="830" xr:uid="{09E7B847-185F-4574-9B95-1930DB9FC7F7}"/>
    <cellStyle name="Input 4 2 29" xfId="843" xr:uid="{09D6643D-FB0A-429F-A098-0F273447A3E7}"/>
    <cellStyle name="Input 4 2 3" xfId="526" xr:uid="{B50C6364-2922-46E4-9D7E-8BBAEDEA78C5}"/>
    <cellStyle name="Input 4 2 4" xfId="539" xr:uid="{1C8C29E7-D11F-4063-9887-1DA8D97CB95C}"/>
    <cellStyle name="Input 4 2 5" xfId="553" xr:uid="{256C40D0-C601-47B1-8A3A-96771CAA6F9A}"/>
    <cellStyle name="Input 4 2 6" xfId="566" xr:uid="{A46AB194-7201-41FC-9248-F2277978A347}"/>
    <cellStyle name="Input 4 2 7" xfId="579" xr:uid="{7569440F-0854-4D21-9858-8393753FDB0F}"/>
    <cellStyle name="Input 4 2 8" xfId="594" xr:uid="{BE93001A-21E0-4599-80E7-5CB794A1DC13}"/>
    <cellStyle name="Input 4 2 9" xfId="487" xr:uid="{DC302093-4D4F-43E2-A5ED-728EBEB40D5A}"/>
    <cellStyle name="Input 5" xfId="430" xr:uid="{700EC498-2E0A-4FD9-A065-F54FC98C5B94}"/>
    <cellStyle name="Input 5 2" xfId="461" xr:uid="{9526F9DF-FDC0-4A82-BA95-1CAFFBEF3377}"/>
    <cellStyle name="Input 5 2 10" xfId="620" xr:uid="{B49F7021-C6FC-4604-8FC9-7316E8BF6E11}"/>
    <cellStyle name="Input 5 2 11" xfId="633" xr:uid="{092E60CF-62B9-4A4E-BFAF-AEB3568F7B69}"/>
    <cellStyle name="Input 5 2 12" xfId="646" xr:uid="{97E4376C-8932-4B99-96D0-30F4351B1682}"/>
    <cellStyle name="Input 5 2 13" xfId="659" xr:uid="{9A4CEF29-3083-4E33-B5E7-3B875A5BDC94}"/>
    <cellStyle name="Input 5 2 14" xfId="672" xr:uid="{421F40B2-9D7A-4D36-A548-6793DF175449}"/>
    <cellStyle name="Input 5 2 15" xfId="685" xr:uid="{EBC2DA62-0BCD-4D57-A0E3-18959F5FA0CA}"/>
    <cellStyle name="Input 5 2 16" xfId="698" xr:uid="{8306D047-CDEF-4980-BDFC-AF08656A514E}"/>
    <cellStyle name="Input 5 2 17" xfId="699" xr:uid="{5A60D8C1-FC10-4F7E-95E6-832089D45BBB}"/>
    <cellStyle name="Input 5 2 18" xfId="712" xr:uid="{26A81B56-2801-4271-97BC-F9A39BD81464}"/>
    <cellStyle name="Input 5 2 19" xfId="725" xr:uid="{44A7A8C5-2F40-4029-9884-EAB01F63C7EF}"/>
    <cellStyle name="Input 5 2 2" xfId="525" xr:uid="{A3F2850E-2EB5-41E4-80E7-4F3953FEF9F6}"/>
    <cellStyle name="Input 5 2 20" xfId="738" xr:uid="{EB22C0A1-3EA1-4FF1-9AF8-B95F5D7BEE7F}"/>
    <cellStyle name="Input 5 2 21" xfId="751" xr:uid="{ED75CF29-0CDE-4DB3-923E-2BEDEBBCFA33}"/>
    <cellStyle name="Input 5 2 22" xfId="764" xr:uid="{BBDBF07B-D248-4B8C-9D35-41327CBF9F54}"/>
    <cellStyle name="Input 5 2 23" xfId="777" xr:uid="{48C39769-DD22-4745-86CD-C0EDB1DD62CF}"/>
    <cellStyle name="Input 5 2 24" xfId="790" xr:uid="{E169A31D-A3C9-4924-BA02-A69702234753}"/>
    <cellStyle name="Input 5 2 25" xfId="803" xr:uid="{8170DA06-7B88-4D6D-90E8-562A660B189C}"/>
    <cellStyle name="Input 5 2 26" xfId="816" xr:uid="{1FECEF72-87F9-4D5C-889C-26211D6522C9}"/>
    <cellStyle name="Input 5 2 27" xfId="829" xr:uid="{C2A17B84-6817-441A-8A70-E10018D3251E}"/>
    <cellStyle name="Input 5 2 28" xfId="842" xr:uid="{CEFB9318-3C17-40DC-8016-E9CE2D5C9E45}"/>
    <cellStyle name="Input 5 2 29" xfId="855" xr:uid="{50D011C5-A6DC-4A63-8C8D-A56B3A7FA96A}"/>
    <cellStyle name="Input 5 2 3" xfId="538" xr:uid="{7C2592B5-54CA-4634-8705-06BAC1FF1BF9}"/>
    <cellStyle name="Input 5 2 4" xfId="551" xr:uid="{F0804E82-F2F7-4019-ADD5-F16B4FEE1FFD}"/>
    <cellStyle name="Input 5 2 5" xfId="565" xr:uid="{DB905002-ABB0-49AF-B7DA-5A0C778DE401}"/>
    <cellStyle name="Input 5 2 6" xfId="578" xr:uid="{66154CEA-F07D-48FE-8D9D-C564056B2539}"/>
    <cellStyle name="Input 5 2 7" xfId="592" xr:uid="{6BE40770-BD1A-4636-B8E4-34F10D9E8EC0}"/>
    <cellStyle name="Input 5 2 8" xfId="606" xr:uid="{911D61AA-11DD-4033-8939-ECD792F58BA1}"/>
    <cellStyle name="Input 5 2 9" xfId="607" xr:uid="{C2977B53-7587-405C-8634-87E130564DDF}"/>
    <cellStyle name="Linked Cell 2" xfId="418" xr:uid="{11FA5137-C022-465D-BFDF-F0959D4D23A6}"/>
    <cellStyle name="Model" xfId="268" xr:uid="{A5EDBA44-9EF2-4D3A-98B7-EE9986F4AC0F}"/>
    <cellStyle name="Neutral 2" xfId="419" xr:uid="{3083BB1A-4AEF-45A2-9B44-C38CA54B5367}"/>
    <cellStyle name="Normal" xfId="0" builtinId="0"/>
    <cellStyle name="Normal - Style1" xfId="269" xr:uid="{BC4B7301-09E6-4446-9516-7BAE2C387710}"/>
    <cellStyle name="Normal - Style1 2" xfId="420" xr:uid="{F8E77D8F-9C14-46DF-B9C2-0A49A0C921E2}"/>
    <cellStyle name="Normal 10" xfId="54" xr:uid="{4E2A49FA-5361-41B0-8F35-0BA65723D4B4}"/>
    <cellStyle name="Normal 11" xfId="340" xr:uid="{6B2D05B0-B44A-4738-A8A7-5839E501461B}"/>
    <cellStyle name="Normal 11 2" xfId="369" xr:uid="{9ADDDB23-C47E-4AFE-A7D9-8895791D50A8}"/>
    <cellStyle name="Normal 12" xfId="341" xr:uid="{7951F01C-C100-43E5-91E1-4D8E300591C9}"/>
    <cellStyle name="Normal 12 2" xfId="370" xr:uid="{72AC5C14-3CC3-4491-97D9-043FCE8CBB60}"/>
    <cellStyle name="Normal 13" xfId="342" xr:uid="{21C68ABB-C8AD-4007-88D1-DF28FA6FB9BC}"/>
    <cellStyle name="Normal 13 2" xfId="371" xr:uid="{03E5F294-B5D5-47DD-94A8-EA7C62C9C508}"/>
    <cellStyle name="Normal 14" xfId="349" xr:uid="{65B8798E-5A04-479C-9385-0A38C734BECC}"/>
    <cellStyle name="Normal 14 2" xfId="378" xr:uid="{6D903079-38D3-4E25-9766-C857219B12D0}"/>
    <cellStyle name="Normal 14 3" xfId="433" xr:uid="{E752CBAB-194A-4EC1-8DB3-EB01075D2729}"/>
    <cellStyle name="Normal 15" xfId="380" xr:uid="{679B829B-BE77-4C6A-8241-C84D06ECEC5E}"/>
    <cellStyle name="Normal 15 2" xfId="434" xr:uid="{B74F885E-CD65-4E0F-8F48-83D3CBF9DBB9}"/>
    <cellStyle name="Normal 16" xfId="4" xr:uid="{97202966-7D65-4082-BF1C-F0BA8B4696E9}"/>
    <cellStyle name="Normal 17" xfId="427" xr:uid="{018B03CC-EE72-4BE9-B183-1F9F18B97690}"/>
    <cellStyle name="Normal 18" xfId="428" xr:uid="{6AC2885B-62FD-4211-8B21-405E96AFB305}"/>
    <cellStyle name="Normal 19" xfId="429" xr:uid="{ED078782-19FF-4ABE-AB82-820B682EC234}"/>
    <cellStyle name="Normal 2" xfId="5" xr:uid="{DFB4D329-A7BE-4A23-BE19-8797FE3E5D59}"/>
    <cellStyle name="Normal 2 2" xfId="7" xr:uid="{D5334152-5B4C-44B8-A827-F602FD590323}"/>
    <cellStyle name="Normal 2 3" xfId="13" xr:uid="{E1B4DD2E-1AAF-45A0-B9D1-B43F4B14C323}"/>
    <cellStyle name="Normal 2 3 2" xfId="441" xr:uid="{27135B24-A784-4C14-82E7-7A824B2C7202}"/>
    <cellStyle name="Normal 2 3 3" xfId="445" xr:uid="{E2543770-C025-4E79-AEF5-6BB6060D02B6}"/>
    <cellStyle name="Normal 2 4" xfId="47" xr:uid="{335CF8E3-3BAB-4B4B-9C10-6B7DA3E3EC93}"/>
    <cellStyle name="Normal 2 4 2" xfId="442" xr:uid="{426DA326-B1F4-404E-A5DA-FBAD7BB8DF66}"/>
    <cellStyle name="Normal 2 4 3" xfId="446" xr:uid="{5397E087-7F20-4588-8DF1-827D8C80C7B2}"/>
    <cellStyle name="Normal 2 5" xfId="34" xr:uid="{73A7F526-E537-49A2-BF88-EF8FF3C18C1F}"/>
    <cellStyle name="Normal 2 6" xfId="421" xr:uid="{2E743ACA-1D8D-4C13-8C5A-1EEF43CC41CC}"/>
    <cellStyle name="Normal 2 7" xfId="439" xr:uid="{21283D06-96FA-4F6F-A874-C14E01EEACA9}"/>
    <cellStyle name="Normal 2 8" xfId="443" xr:uid="{FAC0CEA3-7E9A-476C-B3B3-DD4292AA26B4}"/>
    <cellStyle name="Normal 20" xfId="431" xr:uid="{DA8D1C04-41E0-4BEB-8863-F0D0AB3B4CDC}"/>
    <cellStyle name="Normal 21" xfId="438" xr:uid="{3D3CE3C4-6CE2-46E4-B890-CD211778DE8C}"/>
    <cellStyle name="Normal 22" xfId="3" xr:uid="{7C6CB186-2AA6-4A03-992C-9A09FCBC050F}"/>
    <cellStyle name="Normal 23" xfId="447" xr:uid="{F43B88D6-ACBB-44B9-96A3-A9C4D9455D99}"/>
    <cellStyle name="Normal 24" xfId="460" xr:uid="{3763EA33-A055-4C80-B24F-101E400C6D24}"/>
    <cellStyle name="Normal 25" xfId="2" xr:uid="{D0E63E1F-A999-4363-B010-4D82B16E29F3}"/>
    <cellStyle name="Normal 26" xfId="462" xr:uid="{976B7064-DACE-4D91-BB45-7CB75982ABC3}"/>
    <cellStyle name="Normal 27" xfId="502" xr:uid="{E86FCF66-5E11-4289-8202-DC6DE07381D7}"/>
    <cellStyle name="Normal 28" xfId="481" xr:uid="{356CE2D4-C463-49DF-A854-3B12F10696F6}"/>
    <cellStyle name="Normal 29" xfId="510" xr:uid="{840E9287-5F75-4FD5-A033-8C238B6DB05D}"/>
    <cellStyle name="Normal 3" xfId="8" xr:uid="{7A722F00-659A-42CE-9915-B3558616A2B1}"/>
    <cellStyle name="Normal 3 2" xfId="15" xr:uid="{D23DD3F9-48F8-4976-9BFB-042089009C96}"/>
    <cellStyle name="Normal 3 2 2" xfId="55" xr:uid="{D33074A6-9738-437E-A466-18BD1023C705}"/>
    <cellStyle name="Normal 3 2 2 2" xfId="366" xr:uid="{685DF37A-64DF-4387-A79C-7145EBB8E1BB}"/>
    <cellStyle name="Normal 3 2 3" xfId="346" xr:uid="{79D5537A-CE93-43D8-A18C-0AAA53FD693A}"/>
    <cellStyle name="Normal 3 2 3 2" xfId="375" xr:uid="{3AADF302-7552-4DD9-AB4F-74B4AE122A55}"/>
    <cellStyle name="Normal 3 2 4" xfId="21" xr:uid="{9E2AB58F-16F7-4CF7-8E0A-35E1C1888B3E}"/>
    <cellStyle name="Normal 3 2 4 2" xfId="359" xr:uid="{0020011F-E4CD-47F2-A733-880182F93182}"/>
    <cellStyle name="Normal 3 2 5" xfId="353" xr:uid="{8D3AB66E-8EC1-4CB9-8166-CB1A71E3B0C6}"/>
    <cellStyle name="Normal 3 3" xfId="50" xr:uid="{7A03F9D4-0564-4911-BB8F-C435238BA67A}"/>
    <cellStyle name="Normal 3 3 2" xfId="363" xr:uid="{40FCA672-644F-4F40-B8CD-CCAA88D413DD}"/>
    <cellStyle name="Normal 3 4" xfId="343" xr:uid="{D36ECCFC-31E2-4DBE-86A1-558A1C7EEA14}"/>
    <cellStyle name="Normal 3 4 2" xfId="372" xr:uid="{43895A9A-C004-4A2D-82CE-1FCC39F2FA1E}"/>
    <cellStyle name="Normal 3 5" xfId="18" xr:uid="{A23F28AC-AD10-4E52-8C09-B7E52FCA1443}"/>
    <cellStyle name="Normal 3 5 2" xfId="356" xr:uid="{7C6FD2D2-BC4A-4351-81ED-C16ABB4CD155}"/>
    <cellStyle name="Normal 3 6" xfId="350" xr:uid="{7C8EA1F6-F048-4A13-8CF6-129259260ACA}"/>
    <cellStyle name="Normal 3 7" xfId="435" xr:uid="{9ECD64ED-8C00-4D2C-A9DC-D869417002E7}"/>
    <cellStyle name="Normal 30" xfId="468" xr:uid="{8DE283EC-56B4-491E-84D3-AF4A2D2B580E}"/>
    <cellStyle name="Normal 31" xfId="497" xr:uid="{BAD82260-1926-46EE-8181-573289663ADF}"/>
    <cellStyle name="Normal 32" xfId="492" xr:uid="{69920309-CE13-424C-A4DC-2F601A8B8E94}"/>
    <cellStyle name="Normal 33" xfId="471" xr:uid="{5B9EE168-FC99-4A26-B8E2-9F7213558272}"/>
    <cellStyle name="Normal 34" xfId="479" xr:uid="{47E9351F-81F5-43CE-9F07-62507B7AAA24}"/>
    <cellStyle name="Normal 35" xfId="493" xr:uid="{99BD7850-BCC7-41CF-9319-9BC0900BD0D5}"/>
    <cellStyle name="Normal 36" xfId="473" xr:uid="{27C8ACBE-5DC5-4A27-9907-006664E8D84A}"/>
    <cellStyle name="Normal 37" xfId="477" xr:uid="{3D6FD27D-026A-44B8-BF78-4922B1E04DD3}"/>
    <cellStyle name="Normal 38" xfId="467" xr:uid="{1F2FD4BD-6916-41B8-9650-23C56CB43D3D}"/>
    <cellStyle name="Normal 39" xfId="466" xr:uid="{0E431D06-B21E-458E-B1C9-BB2AF8307B90}"/>
    <cellStyle name="Normal 4" xfId="9" xr:uid="{911AAAD5-AE68-4BE6-9FEB-744311C14DDC}"/>
    <cellStyle name="Normal 4 2" xfId="16" xr:uid="{C76C6FEE-DFF3-4379-9D6A-9542613A3171}"/>
    <cellStyle name="Normal 4 2 2" xfId="56" xr:uid="{36EDAAB9-7A7F-4D8F-99DA-919744FA0D59}"/>
    <cellStyle name="Normal 4 2 2 2" xfId="367" xr:uid="{8EA338B9-F1B8-4A16-94F0-0B58DF139D18}"/>
    <cellStyle name="Normal 4 2 3" xfId="347" xr:uid="{98F8A08C-9908-4FFC-B97A-2C05524F07EA}"/>
    <cellStyle name="Normal 4 2 3 2" xfId="376" xr:uid="{68E23334-6625-48AC-B006-D674A0B33700}"/>
    <cellStyle name="Normal 4 2 4" xfId="22" xr:uid="{2A0FEF98-42E8-4A58-AAE9-EAE8D4DB0CD7}"/>
    <cellStyle name="Normal 4 2 4 2" xfId="360" xr:uid="{5D59966A-4308-44F2-B60F-1DECB1CD7118}"/>
    <cellStyle name="Normal 4 2 5" xfId="354" xr:uid="{F5F4749C-F1BA-4F1E-B729-749DB3EB8EB1}"/>
    <cellStyle name="Normal 4 3" xfId="51" xr:uid="{3F1A3936-04BD-4F98-9E4D-4E6C172C3DD7}"/>
    <cellStyle name="Normal 4 3 2" xfId="364" xr:uid="{81ECF475-3E3D-466B-B1BF-9E98532FE149}"/>
    <cellStyle name="Normal 4 4" xfId="344" xr:uid="{A7DFE363-AAFC-4B25-9AD3-D93CF4D17CEB}"/>
    <cellStyle name="Normal 4 4 2" xfId="373" xr:uid="{C7390C8E-65B1-4D41-9133-620D59BEAAD7}"/>
    <cellStyle name="Normal 4 5" xfId="19" xr:uid="{27D2E75E-FF4E-4FED-9FD3-1432047EB220}"/>
    <cellStyle name="Normal 4 5 2" xfId="357" xr:uid="{A589A25D-BF1D-463F-9CC4-09FBCE73BC3A}"/>
    <cellStyle name="Normal 4 6" xfId="351" xr:uid="{05DB9DFF-6541-4C6F-AE5A-BC2014D741F5}"/>
    <cellStyle name="Normal 4 7" xfId="436" xr:uid="{FC707714-56B3-4829-8EF5-8240E259A04C}"/>
    <cellStyle name="Normal 40" xfId="496" xr:uid="{D08A0C49-94C3-4C18-A4E0-F0C2361F4086}"/>
    <cellStyle name="Normal 41" xfId="495" xr:uid="{A14039DA-A358-409A-9987-B9C54E38BE5B}"/>
    <cellStyle name="Normal 42" xfId="498" xr:uid="{E75E85FB-E94B-4DF5-A547-B223A2F8BAB0}"/>
    <cellStyle name="Normal 43" xfId="509" xr:uid="{43CE5524-23A5-4B94-B100-E928C4AA9A8E}"/>
    <cellStyle name="Normal 44" xfId="501" xr:uid="{96EA39A4-24FD-4D8B-B368-D3DFBF9BBA5E}"/>
    <cellStyle name="Normal 45" xfId="474" xr:uid="{13B312BA-7809-48C5-B911-2BE04BA3C45A}"/>
    <cellStyle name="Normal 46" xfId="482" xr:uid="{F5187FF4-BFAA-4B69-96D5-F23B3C7E3773}"/>
    <cellStyle name="Normal 47" xfId="500" xr:uid="{62CACC8A-4D2B-44F8-A58D-8514F6DAD0FD}"/>
    <cellStyle name="Normal 48" xfId="490" xr:uid="{08CF5BB5-9F53-49AA-8560-936C657CD2F5}"/>
    <cellStyle name="Normal 49" xfId="465" xr:uid="{C243F9AE-0BE8-42CF-957B-2B01199E8875}"/>
    <cellStyle name="Normal 5" xfId="10" xr:uid="{DD059A71-8B4B-48DB-BF79-D4E9793D8A72}"/>
    <cellStyle name="Normal 5 2" xfId="17" xr:uid="{80640F15-47D4-454D-B259-D136A2D2052F}"/>
    <cellStyle name="Normal 5 2 2" xfId="57" xr:uid="{61B1D29B-9B1F-4EFE-A5B5-E7848C377BE4}"/>
    <cellStyle name="Normal 5 2 2 2" xfId="368" xr:uid="{45B0F766-DAC2-41EA-8A07-76711A103826}"/>
    <cellStyle name="Normal 5 2 3" xfId="348" xr:uid="{D819241A-5F82-4DF7-A0C2-FBA3258CF9E5}"/>
    <cellStyle name="Normal 5 2 3 2" xfId="377" xr:uid="{8C4AE932-C044-4EA8-A9FD-EBDCDCA1D072}"/>
    <cellStyle name="Normal 5 2 4" xfId="23" xr:uid="{E845B6E9-382F-4140-8D0A-7D339D148FA7}"/>
    <cellStyle name="Normal 5 2 4 2" xfId="361" xr:uid="{CFF08404-0216-46A1-BB17-7F7E559BCEBD}"/>
    <cellStyle name="Normal 5 2 5" xfId="355" xr:uid="{B39F0215-6A80-402D-8142-265B71930B92}"/>
    <cellStyle name="Normal 5 3" xfId="52" xr:uid="{01BA0E2F-D590-49B1-9E0C-CC19359AAA74}"/>
    <cellStyle name="Normal 5 3 2" xfId="365" xr:uid="{981573C8-9B25-498B-B0C3-34E8E98EB41F}"/>
    <cellStyle name="Normal 5 4" xfId="345" xr:uid="{A7CF9999-5C6B-4924-B433-DB513762ADF2}"/>
    <cellStyle name="Normal 5 4 2" xfId="374" xr:uid="{23343C3A-A8C9-4F2F-849A-FF39ADAE69A0}"/>
    <cellStyle name="Normal 5 5" xfId="20" xr:uid="{4A8A54FB-1952-4400-99D8-9BF70C0DF4D4}"/>
    <cellStyle name="Normal 5 5 2" xfId="358" xr:uid="{65FDFA7E-2503-48DF-BFA2-CDD2FA25E436}"/>
    <cellStyle name="Normal 5 6" xfId="352" xr:uid="{B9A65AD7-935D-4792-B814-E7CD3E55B058}"/>
    <cellStyle name="Normal 50" xfId="591" xr:uid="{BE12FF15-EDDB-44DF-813F-5196B7323F2A}"/>
    <cellStyle name="Normal 51" xfId="476" xr:uid="{E78FD632-5E38-4A20-857E-313572864ADA}"/>
    <cellStyle name="Normal 52" xfId="511" xr:uid="{BEAA6327-F461-4799-BE96-1CA22406DC49}"/>
    <cellStyle name="Normal 53" xfId="593" xr:uid="{CC203907-DC46-4326-9E6F-C22C2E775639}"/>
    <cellStyle name="Normal 54" xfId="464" xr:uid="{3CAE91BE-C33D-4B02-9EC0-69EF8CE4D06D}"/>
    <cellStyle name="Normal 55" xfId="475" xr:uid="{E1EA0F49-0C8F-4214-A06F-B5E1C1A01572}"/>
    <cellStyle name="Normal 6" xfId="11" xr:uid="{5F862472-19D0-4A64-88DA-9CB3A2FAF766}"/>
    <cellStyle name="Normal 7" xfId="14" xr:uid="{D8D8BE13-BD1C-458D-9C2E-4B97E756CBFB}"/>
    <cellStyle name="Normal 8" xfId="46" xr:uid="{C7F7D699-3F10-459F-A52E-0323455FFA54}"/>
    <cellStyle name="Normal 9" xfId="24" xr:uid="{D92618C5-5FD4-4A0A-AEE0-CDAB2FBFECC9}"/>
    <cellStyle name="Normal 9 2" xfId="362" xr:uid="{59F98E17-3A5D-4DDE-9E94-5746EAA61488}"/>
    <cellStyle name="Normal_Sheet1" xfId="1" xr:uid="{00000000-0005-0000-0000-000001000000}"/>
    <cellStyle name="Note 2" xfId="422" xr:uid="{5FF8C523-A5B8-4C39-9F34-96E7A2E741A6}"/>
    <cellStyle name="Note 2 2" xfId="452" xr:uid="{03E9DB2F-9F0F-49E5-B85A-20BB2D418054}"/>
    <cellStyle name="Note 2 2 10" xfId="612" xr:uid="{4119A99C-5A81-43B2-91F3-38808FCA5053}"/>
    <cellStyle name="Note 2 2 11" xfId="625" xr:uid="{039251B6-12B4-4F3F-958E-5EF19FBEA135}"/>
    <cellStyle name="Note 2 2 12" xfId="638" xr:uid="{46ECF8E7-5458-4E18-B63A-C885503E14FD}"/>
    <cellStyle name="Note 2 2 13" xfId="651" xr:uid="{26FCD6C3-9460-41F5-B9D8-7AE6D0B5FA8B}"/>
    <cellStyle name="Note 2 2 14" xfId="664" xr:uid="{E0365FF1-584C-4543-B1F6-2FE44F2210C3}"/>
    <cellStyle name="Note 2 2 15" xfId="677" xr:uid="{E07A114A-AFF2-4940-9DDC-24F6861E6ACA}"/>
    <cellStyle name="Note 2 2 16" xfId="690" xr:uid="{F6185BF0-2911-4374-BC2D-47357C4F6417}"/>
    <cellStyle name="Note 2 2 17" xfId="486" xr:uid="{1E21B71E-E522-43FB-8CD9-3BE12E0D3227}"/>
    <cellStyle name="Note 2 2 18" xfId="704" xr:uid="{57D366DD-9FDD-47F6-B473-F2B378B70E9D}"/>
    <cellStyle name="Note 2 2 19" xfId="717" xr:uid="{4793B6AA-357F-4A87-A526-3C2CF5A59A41}"/>
    <cellStyle name="Note 2 2 2" xfId="517" xr:uid="{6369DBE8-6738-4885-83F7-9F9920490AAA}"/>
    <cellStyle name="Note 2 2 20" xfId="730" xr:uid="{EE75DEBD-0D40-461C-92AE-A81FCC4BE2BD}"/>
    <cellStyle name="Note 2 2 21" xfId="743" xr:uid="{16A0BF86-D094-461D-A52F-ACC58EE41964}"/>
    <cellStyle name="Note 2 2 22" xfId="756" xr:uid="{478079D0-C6C3-47EE-87AD-D19ABD62D40D}"/>
    <cellStyle name="Note 2 2 23" xfId="769" xr:uid="{019B6C2E-3E4E-47A5-BE1F-F6BACD765D31}"/>
    <cellStyle name="Note 2 2 24" xfId="782" xr:uid="{264B3426-F9BD-4A62-AC9C-91542F62E314}"/>
    <cellStyle name="Note 2 2 25" xfId="795" xr:uid="{7443A296-41A0-46C3-BD63-8841A7634990}"/>
    <cellStyle name="Note 2 2 26" xfId="808" xr:uid="{814F59E1-D388-4077-A6FC-0417155FDC11}"/>
    <cellStyle name="Note 2 2 27" xfId="821" xr:uid="{DA381C59-8C73-4114-A1F4-B00CA4D8687E}"/>
    <cellStyle name="Note 2 2 28" xfId="834" xr:uid="{555ACE37-FCC8-4E39-93F4-DA3C995965B5}"/>
    <cellStyle name="Note 2 2 29" xfId="847" xr:uid="{A1089721-47E9-498B-8A8B-AB8F369EC4DC}"/>
    <cellStyle name="Note 2 2 3" xfId="530" xr:uid="{6E305F47-6551-482B-9C5E-8AB13CB0096B}"/>
    <cellStyle name="Note 2 2 4" xfId="543" xr:uid="{8F6484DF-C5F1-497E-9040-865774693081}"/>
    <cellStyle name="Note 2 2 5" xfId="557" xr:uid="{CF70C9DD-6200-4CF7-B02F-C3C0FF4DB4A2}"/>
    <cellStyle name="Note 2 2 6" xfId="570" xr:uid="{E22E50C1-072A-4073-A391-7027309E0DC5}"/>
    <cellStyle name="Note 2 2 7" xfId="583" xr:uid="{D49B720A-EEF0-4220-A668-208CF3181701}"/>
    <cellStyle name="Note 2 2 8" xfId="598" xr:uid="{2AFF8FE5-ECB5-4FCE-864C-A5F3B533E7C2}"/>
    <cellStyle name="Note 2 2 9" xfId="504" xr:uid="{7D1A13A7-DD7C-4CF4-A1E8-75F108829DA6}"/>
    <cellStyle name="NWM" xfId="270" xr:uid="{011DE59F-75C3-4D63-A10B-30635567DD12}"/>
    <cellStyle name="omma [0]_Mktg Prog" xfId="271" xr:uid="{E62D0BA8-574C-4DBB-A666-BB51FDC7A5E0}"/>
    <cellStyle name="ormal_Sheet1_1" xfId="272" xr:uid="{C8774BE4-67E4-4873-A866-7A635D7E6C1B}"/>
    <cellStyle name="Output 2" xfId="423" xr:uid="{D96689BA-E305-43C3-89C0-2A84BAE5547A}"/>
    <cellStyle name="Output 2 2" xfId="451" xr:uid="{BF9C93E5-DB00-4D6E-ADDE-A9E6DA9A242F}"/>
    <cellStyle name="Output 2 2 10" xfId="611" xr:uid="{A70C1289-FA35-466C-936C-73BFEA44CF77}"/>
    <cellStyle name="Output 2 2 11" xfId="624" xr:uid="{80932503-3856-4EE3-B99E-59862E95230B}"/>
    <cellStyle name="Output 2 2 12" xfId="637" xr:uid="{03014AF0-75DB-4156-9CC9-5F1E38CAD067}"/>
    <cellStyle name="Output 2 2 13" xfId="650" xr:uid="{8CB41E1C-CBE9-4548-AF46-F6E17D45E512}"/>
    <cellStyle name="Output 2 2 14" xfId="663" xr:uid="{DE40407C-416D-42BB-8DC2-D33C315FE22B}"/>
    <cellStyle name="Output 2 2 15" xfId="676" xr:uid="{BB0CA8B0-9598-46BD-B95C-FCBD93DC6B9B}"/>
    <cellStyle name="Output 2 2 16" xfId="689" xr:uid="{DDDC0AD5-DCC9-4ED6-B299-5E42860ED2F5}"/>
    <cellStyle name="Output 2 2 17" xfId="494" xr:uid="{2C890E98-D1EF-4B55-BF1A-3DB408C2AC15}"/>
    <cellStyle name="Output 2 2 18" xfId="703" xr:uid="{61DCFBD4-02D7-4841-8E1A-4D64AFFC78AA}"/>
    <cellStyle name="Output 2 2 19" xfId="716" xr:uid="{05B155B4-9050-466A-B117-0CEC2BC4A4DB}"/>
    <cellStyle name="Output 2 2 2" xfId="516" xr:uid="{530DBF7D-ECB2-46CE-9E40-BE0806ADF26B}"/>
    <cellStyle name="Output 2 2 20" xfId="729" xr:uid="{E1EC0D27-454F-4B42-AD0D-E31690C159CF}"/>
    <cellStyle name="Output 2 2 21" xfId="742" xr:uid="{D916A4FF-9AA7-4277-94F9-18266034FDEF}"/>
    <cellStyle name="Output 2 2 22" xfId="755" xr:uid="{68DCD83D-956F-457B-ABCF-D10D7E189201}"/>
    <cellStyle name="Output 2 2 23" xfId="768" xr:uid="{3342C65D-4D62-4FD3-A04B-2E69E8C3F285}"/>
    <cellStyle name="Output 2 2 24" xfId="781" xr:uid="{6C63B81B-0C85-44D1-B2C3-4CB490D42F15}"/>
    <cellStyle name="Output 2 2 25" xfId="794" xr:uid="{8E53AADD-23AC-4705-B597-132377B8C604}"/>
    <cellStyle name="Output 2 2 26" xfId="807" xr:uid="{6A9B1F87-2793-46CA-AAD4-50AA8239C459}"/>
    <cellStyle name="Output 2 2 27" xfId="820" xr:uid="{BFFBCB14-3233-4AC0-9F9B-C637AE31D2C9}"/>
    <cellStyle name="Output 2 2 28" xfId="833" xr:uid="{0FA4A04A-FE98-44C8-81B7-7456F61433DC}"/>
    <cellStyle name="Output 2 2 29" xfId="846" xr:uid="{F0B6922D-308B-4432-BB1B-6D10A2D99009}"/>
    <cellStyle name="Output 2 2 3" xfId="529" xr:uid="{3C86A475-FEB1-494B-8D62-0FECF9DD5300}"/>
    <cellStyle name="Output 2 2 4" xfId="542" xr:uid="{880DB027-8CFC-4C31-92DA-8504300EC929}"/>
    <cellStyle name="Output 2 2 5" xfId="556" xr:uid="{7EBAB6E8-D0AE-4CCB-ACA0-645067049AE8}"/>
    <cellStyle name="Output 2 2 6" xfId="569" xr:uid="{12E36EE8-871D-4739-A659-72F408A99E79}"/>
    <cellStyle name="Output 2 2 7" xfId="582" xr:uid="{A70AE394-2B55-4A0B-B145-4ADB14A063E0}"/>
    <cellStyle name="Output 2 2 8" xfId="597" xr:uid="{BB9BFF97-33F7-4F9A-820C-495092510D19}"/>
    <cellStyle name="Output 2 2 9" xfId="506" xr:uid="{73F031EA-1D8F-4428-9ED0-36A4A7941414}"/>
    <cellStyle name="Percent [2]" xfId="273" xr:uid="{1CCD7E7A-E68B-4832-BCD7-34F71B10F71D}"/>
    <cellStyle name="S—_x0008_" xfId="274" xr:uid="{95E079D3-2A01-4B39-9DCB-478FA5955D22}"/>
    <cellStyle name="Style 1" xfId="275" xr:uid="{CB28CA23-4BDA-4BF6-815E-E574646414DA}"/>
    <cellStyle name="Style 10" xfId="276" xr:uid="{0F89434B-3286-4A83-845B-B987C9F7E9EF}"/>
    <cellStyle name="Style 11" xfId="277" xr:uid="{4D7D18F3-83FE-4A4A-913A-D8F01775259E}"/>
    <cellStyle name="Style 12" xfId="278" xr:uid="{795BF320-D9DC-4C4C-B9F4-B2839A7F70C0}"/>
    <cellStyle name="Style 13" xfId="279" xr:uid="{BFA5F258-4006-4D39-BD04-7D4BF6669C57}"/>
    <cellStyle name="Style 14" xfId="280" xr:uid="{258B6AEB-51BB-43A1-8FEA-DC017C650141}"/>
    <cellStyle name="Style 15" xfId="281" xr:uid="{C0D7DAB6-7E10-4FA1-A42C-11E3718D866C}"/>
    <cellStyle name="Style 16" xfId="282" xr:uid="{47AF044A-555A-4F60-A2E8-FEE802BD7B0D}"/>
    <cellStyle name="Style 17" xfId="283" xr:uid="{4CA5D461-FFD3-4907-9ACC-F90610A9BE03}"/>
    <cellStyle name="Style 18" xfId="284" xr:uid="{1E645286-6EEF-420D-A5A3-B9CC738BB329}"/>
    <cellStyle name="Style 19" xfId="285" xr:uid="{656DE963-5CDB-4D23-9B7A-191C405FCF39}"/>
    <cellStyle name="Style 2" xfId="286" xr:uid="{9E2E6EB8-E10F-426A-904D-1DE342CED888}"/>
    <cellStyle name="Style 20" xfId="287" xr:uid="{02BCA775-170A-41F8-81E3-B3369775BBAF}"/>
    <cellStyle name="Style 21" xfId="288" xr:uid="{552443F3-8081-47F2-8D87-B99CCF7F974D}"/>
    <cellStyle name="Style 22" xfId="289" xr:uid="{C596288E-4A69-4B72-94DB-A575F66E1E29}"/>
    <cellStyle name="Style 23" xfId="290" xr:uid="{B101C054-EB1D-40E4-A9D4-53670355DF42}"/>
    <cellStyle name="Style 24" xfId="291" xr:uid="{EB3E615B-1C3F-4F66-92C7-5947BFE864BE}"/>
    <cellStyle name="Style 25" xfId="292" xr:uid="{F25E64AD-AFA4-4672-A990-4F5EAD0D3746}"/>
    <cellStyle name="Style 26" xfId="293" xr:uid="{CBACAD15-623E-4F49-820A-0CAEF360065B}"/>
    <cellStyle name="Style 27" xfId="294" xr:uid="{DEE04FA9-5589-4557-A28A-6E0856952380}"/>
    <cellStyle name="Style 28" xfId="295" xr:uid="{4A08EA2A-03F0-4A0E-9B78-FD444E07848A}"/>
    <cellStyle name="Style 29" xfId="296" xr:uid="{388B5914-1DA3-4094-A7F6-5F5C29140EAA}"/>
    <cellStyle name="Style 3" xfId="297" xr:uid="{7F541F5A-728D-4302-A7FA-46F77112BF5E}"/>
    <cellStyle name="Style 30" xfId="298" xr:uid="{CC04B6F9-9815-4137-9C2A-121D5686541B}"/>
    <cellStyle name="Style 31" xfId="299" xr:uid="{A09C9B45-B357-4188-B1B5-B94A15B7EB14}"/>
    <cellStyle name="Style 32" xfId="300" xr:uid="{33BA2EF9-FD3D-4604-80C9-672D87013578}"/>
    <cellStyle name="Style 33" xfId="301" xr:uid="{40DC1E70-3869-4753-A3E1-96A1EAC36570}"/>
    <cellStyle name="Style 34" xfId="302" xr:uid="{B229463C-2ADE-49D9-8C99-A2DA19CD4710}"/>
    <cellStyle name="Style 35" xfId="303" xr:uid="{D753E930-FB01-44C6-A597-BDFA22AE20F6}"/>
    <cellStyle name="Style 36" xfId="304" xr:uid="{2FB2BD22-89F3-4D34-B992-4CE5CC8FA910}"/>
    <cellStyle name="Style 37" xfId="305" xr:uid="{4395E4A2-8684-4E49-B296-9738AB55A8F3}"/>
    <cellStyle name="Style 38" xfId="306" xr:uid="{A60B2362-B240-46EC-B821-9F4294E81DFD}"/>
    <cellStyle name="Style 39" xfId="307" xr:uid="{B0E83785-63C2-42F2-A6AD-D08026A29027}"/>
    <cellStyle name="Style 4" xfId="308" xr:uid="{32A97083-CDD3-4903-BCED-01F37A5224C3}"/>
    <cellStyle name="Style 40" xfId="309" xr:uid="{4A9A155E-807A-4D1E-8FF9-206DDFD9F5E1}"/>
    <cellStyle name="Style 41" xfId="310" xr:uid="{34C0916B-9F75-47C7-880C-599BC18B7984}"/>
    <cellStyle name="Style 42" xfId="311" xr:uid="{97D31204-9424-4B90-B680-6FEB228B7504}"/>
    <cellStyle name="Style 43" xfId="312" xr:uid="{58918C8E-64AD-4CFD-B833-E61D02DCB460}"/>
    <cellStyle name="Style 44" xfId="313" xr:uid="{9C8D5FB3-6D7D-4ED5-8693-493D8AC6264F}"/>
    <cellStyle name="Style 45" xfId="314" xr:uid="{DFBE4A97-80DD-4131-AFB3-897B1A337178}"/>
    <cellStyle name="Style 46" xfId="315" xr:uid="{CD0642A4-7DB2-492C-8E94-7EB0A320585B}"/>
    <cellStyle name="Style 47" xfId="316" xr:uid="{614DB78F-3CB5-4C46-99A7-36CC20AEF9FB}"/>
    <cellStyle name="Style 48" xfId="317" xr:uid="{4505C16C-3955-4C99-881C-2A318329DC00}"/>
    <cellStyle name="Style 5" xfId="318" xr:uid="{8014B267-A942-4D27-88C7-347EDA2B3BD7}"/>
    <cellStyle name="Style 6" xfId="319" xr:uid="{60E6241D-4F93-4215-BC1C-BAAECF3FC3DB}"/>
    <cellStyle name="Style 7" xfId="320" xr:uid="{69A84DC9-E278-40D2-B7BF-95D3FFBD399B}"/>
    <cellStyle name="Style 8" xfId="321" xr:uid="{D6EF42AA-5EE8-4DFD-8BA4-2C684B0D84B1}"/>
    <cellStyle name="Style 9" xfId="322" xr:uid="{2024BD4C-3A70-4B65-92FA-3DA8BBA105CC}"/>
    <cellStyle name="Style Date" xfId="323" xr:uid="{1A1B8C1B-8C6A-4146-A83C-46B0DCE230A1}"/>
    <cellStyle name="subhead" xfId="324" xr:uid="{84F688F2-E0D9-472D-B29A-7D0D2512946C}"/>
    <cellStyle name="symbol" xfId="325" xr:uid="{0B500BA1-DD55-47F0-9294-583C4CE045FA}"/>
    <cellStyle name="T" xfId="326" xr:uid="{12209934-E8F2-47C1-A20A-D4085F081B35}"/>
    <cellStyle name="T 2" xfId="457" xr:uid="{F2792046-99A4-4467-8D3F-9A399BC0B297}"/>
    <cellStyle name="T 2 10" xfId="617" xr:uid="{623C7CA2-A0DF-4C98-A2BB-199D2418C673}"/>
    <cellStyle name="T 2 11" xfId="630" xr:uid="{60167EDE-3CB6-4E79-BA55-62EF90DED7F8}"/>
    <cellStyle name="T 2 12" xfId="643" xr:uid="{AF2020AD-1C1F-41DB-9838-AFEA447F615C}"/>
    <cellStyle name="T 2 13" xfId="656" xr:uid="{E7D1022D-3304-468F-83FC-319AFF3AAC93}"/>
    <cellStyle name="T 2 14" xfId="669" xr:uid="{336AB09C-A1D1-4C14-97AE-AD4C27F96C4A}"/>
    <cellStyle name="T 2 15" xfId="682" xr:uid="{3F9B8095-D662-4D4E-BF62-83A897AF4F25}"/>
    <cellStyle name="T 2 16" xfId="695" xr:uid="{FDC3ED72-96CC-4136-AEF2-EA4FAA69DEAB}"/>
    <cellStyle name="T 2 17" xfId="491" xr:uid="{A2A7A564-2260-495F-9856-D2BCC6DC3BD7}"/>
    <cellStyle name="T 2 18" xfId="709" xr:uid="{D6D10E57-CDD4-4A00-AF0D-E29AF355B2B9}"/>
    <cellStyle name="T 2 19" xfId="722" xr:uid="{20A7D2BE-A83E-4770-875F-786B1875AAD1}"/>
    <cellStyle name="T 2 2" xfId="522" xr:uid="{9EA069BA-045F-4949-8110-FA5528A46C20}"/>
    <cellStyle name="T 2 20" xfId="735" xr:uid="{33DA5048-8DC5-484A-8D6D-B53325FE5C7B}"/>
    <cellStyle name="T 2 21" xfId="748" xr:uid="{1A26210A-18C1-4A3A-8513-6B5CF6014939}"/>
    <cellStyle name="T 2 22" xfId="761" xr:uid="{E615F005-1592-4DBE-818A-2FF0443FF707}"/>
    <cellStyle name="T 2 23" xfId="774" xr:uid="{A647142D-6723-475F-B14A-AE6BC62AE65C}"/>
    <cellStyle name="T 2 24" xfId="787" xr:uid="{D5006AFC-4893-4432-8B9E-5E132B5B9A3D}"/>
    <cellStyle name="T 2 25" xfId="800" xr:uid="{73EF86FF-D158-4382-B690-81A3B7467332}"/>
    <cellStyle name="T 2 26" xfId="813" xr:uid="{BFE8EEAA-C45E-48B6-BDF0-D45E887BA195}"/>
    <cellStyle name="T 2 27" xfId="826" xr:uid="{58F202A6-6808-4BCD-8F59-32A14D111D49}"/>
    <cellStyle name="T 2 28" xfId="839" xr:uid="{E984F2AA-5658-49C1-9D15-E3E856B929BD}"/>
    <cellStyle name="T 2 29" xfId="852" xr:uid="{A3DFA66E-158D-4F3D-94E6-C252D6D187B8}"/>
    <cellStyle name="T 2 3" xfId="535" xr:uid="{51D8962B-04B8-465F-97F3-8F589EBC6F7B}"/>
    <cellStyle name="T 2 4" xfId="548" xr:uid="{90EBD798-199C-47B5-A46F-D79DA656474D}"/>
    <cellStyle name="T 2 5" xfId="562" xr:uid="{7BB5AA60-95B1-4EAD-9EDD-BF0A6F20DBE7}"/>
    <cellStyle name="T 2 6" xfId="575" xr:uid="{AB6F2A38-0672-45B3-9150-262E0E452474}"/>
    <cellStyle name="T 2 7" xfId="588" xr:uid="{EFB10BBB-BF73-424A-AA92-B7578AB6FEAC}"/>
    <cellStyle name="T 2 8" xfId="603" xr:uid="{F7CC5953-A54C-431A-A245-F2D7FE9ADAD0}"/>
    <cellStyle name="T 2 9" xfId="505" xr:uid="{C113C71B-A773-4FDD-A441-CF7E93A825A5}"/>
    <cellStyle name="Title 2" xfId="328" xr:uid="{72E9283B-253C-46A8-991B-4317A81CFDF1}"/>
    <cellStyle name="Title 3" xfId="424" xr:uid="{460159EB-0F13-4DEE-A245-4167F243A42B}"/>
    <cellStyle name="Total 2" xfId="35" xr:uid="{614BC0D2-3773-4FC4-879D-D4E7BD9A58E0}"/>
    <cellStyle name="Total 3" xfId="425" xr:uid="{F52F2BC8-EAA3-46CF-944C-CB0B671EBE17}"/>
    <cellStyle name="Total 3 2" xfId="450" xr:uid="{09BADC13-5898-4DF7-9256-623166926EC9}"/>
    <cellStyle name="Total 3 2 10" xfId="610" xr:uid="{0FFA50E2-D2C9-4FDD-8FB7-6FBEE26B3319}"/>
    <cellStyle name="Total 3 2 11" xfId="623" xr:uid="{E2C3A59E-0817-4E61-8F36-EC2AD6108716}"/>
    <cellStyle name="Total 3 2 12" xfId="636" xr:uid="{D807FEEE-D44F-4E48-9394-3427B27A8CFD}"/>
    <cellStyle name="Total 3 2 13" xfId="649" xr:uid="{A103B9F7-0DF0-48C0-AC9C-5AAB658951C1}"/>
    <cellStyle name="Total 3 2 14" xfId="662" xr:uid="{95E7FEA0-FB89-4F41-9BDA-53F6369366C1}"/>
    <cellStyle name="Total 3 2 15" xfId="675" xr:uid="{7E84A619-7B38-4C24-888E-26BF99E3EA9C}"/>
    <cellStyle name="Total 3 2 16" xfId="688" xr:uid="{D55E70D5-80C6-488F-9A0E-F066697203F6}"/>
    <cellStyle name="Total 3 2 17" xfId="478" xr:uid="{BAEB6CCB-68C7-4C25-96C2-516729080028}"/>
    <cellStyle name="Total 3 2 18" xfId="702" xr:uid="{1D5112EE-EFB5-42CD-83F3-2FAD31477A6B}"/>
    <cellStyle name="Total 3 2 19" xfId="715" xr:uid="{20D7568D-8852-422C-BCA0-34AC2DBE4A20}"/>
    <cellStyle name="Total 3 2 2" xfId="515" xr:uid="{EB773437-4DF4-48EF-84E4-65DAD0B9A147}"/>
    <cellStyle name="Total 3 2 20" xfId="728" xr:uid="{376EE1AF-2239-48AD-B322-EB8B3F482F17}"/>
    <cellStyle name="Total 3 2 21" xfId="741" xr:uid="{73174C75-5F85-44F9-A416-F78010E54E64}"/>
    <cellStyle name="Total 3 2 22" xfId="754" xr:uid="{F576185F-CD3C-457D-9418-2FF1C0855EC1}"/>
    <cellStyle name="Total 3 2 23" xfId="767" xr:uid="{073DCB25-E6EE-4C35-8B65-90F520946BB6}"/>
    <cellStyle name="Total 3 2 24" xfId="780" xr:uid="{8E096D4E-240D-48E9-A309-E7438B6B209F}"/>
    <cellStyle name="Total 3 2 25" xfId="793" xr:uid="{2F765E5B-E7ED-4B24-A89E-4BE9AEE9F47C}"/>
    <cellStyle name="Total 3 2 26" xfId="806" xr:uid="{E4D89977-0784-49C5-983C-5E504626D767}"/>
    <cellStyle name="Total 3 2 27" xfId="819" xr:uid="{EA1B5E13-E677-434B-9404-1C5E9AF56D2E}"/>
    <cellStyle name="Total 3 2 28" xfId="832" xr:uid="{968398F0-1643-4B89-B9CA-3867863A5C06}"/>
    <cellStyle name="Total 3 2 29" xfId="845" xr:uid="{EF2C82ED-9A24-43F3-B81B-FA0060BD3ECF}"/>
    <cellStyle name="Total 3 2 3" xfId="528" xr:uid="{B02B8473-B182-43ED-9848-D0350A735749}"/>
    <cellStyle name="Total 3 2 4" xfId="541" xr:uid="{AB2FDB95-3EAE-4ACC-8E6B-5BE032FAE35F}"/>
    <cellStyle name="Total 3 2 5" xfId="555" xr:uid="{9982DFE7-C0BD-4619-AC5B-F2CBE3953977}"/>
    <cellStyle name="Total 3 2 6" xfId="568" xr:uid="{379EFC13-8B7A-46E4-AFC1-7943BD99B153}"/>
    <cellStyle name="Total 3 2 7" xfId="581" xr:uid="{150B987C-D63F-494A-87EF-E9BF01D43F78}"/>
    <cellStyle name="Total 3 2 8" xfId="596" xr:uid="{11407BF3-D0F1-4F67-935A-726F0FAF2006}"/>
    <cellStyle name="Total 3 2 9" xfId="472" xr:uid="{DD2B5739-1E59-43CF-9C33-2A4A4CAF3AC9}"/>
    <cellStyle name="th" xfId="327" xr:uid="{790A5B58-4C30-4596-A762-EF3D03FE836F}"/>
    <cellStyle name="th 2" xfId="456" xr:uid="{CFD82367-BF30-47CE-9DF4-158D589DCB62}"/>
    <cellStyle name="th 2 10" xfId="616" xr:uid="{14B5F986-E979-437E-B5F9-5816E3D024BC}"/>
    <cellStyle name="th 2 11" xfId="629" xr:uid="{1010EEA5-D35B-4A3C-87DE-3F9973F61065}"/>
    <cellStyle name="th 2 12" xfId="642" xr:uid="{01907CB4-5619-4C3B-B21C-DD2D48DCC38D}"/>
    <cellStyle name="th 2 13" xfId="655" xr:uid="{34593698-1621-4678-A883-A31F0F4DEB38}"/>
    <cellStyle name="th 2 14" xfId="668" xr:uid="{201D563A-3BA5-4682-B15A-8AA773A69F1D}"/>
    <cellStyle name="th 2 15" xfId="681" xr:uid="{534F53DD-F1DC-4FF5-9D91-1D4D44DDC544}"/>
    <cellStyle name="th 2 16" xfId="694" xr:uid="{70316895-BA61-471F-B476-437D0B5FE3E6}"/>
    <cellStyle name="th 2 17" xfId="484" xr:uid="{50A8270A-6D69-45EC-ADB2-77CCB211DE04}"/>
    <cellStyle name="th 2 18" xfId="708" xr:uid="{860E2D56-730C-45DD-A306-5DE5ACE5C06B}"/>
    <cellStyle name="th 2 19" xfId="721" xr:uid="{0948FB92-4C3B-49D9-989D-BFAE4E707390}"/>
    <cellStyle name="th 2 2" xfId="521" xr:uid="{6FADE9CE-CD34-47A2-A098-45271DF1B08D}"/>
    <cellStyle name="th 2 20" xfId="734" xr:uid="{0958A311-8C86-46E8-BD0A-11690067DD3E}"/>
    <cellStyle name="th 2 21" xfId="747" xr:uid="{AF3BCB13-7361-4E1C-A5C6-D49F413219D4}"/>
    <cellStyle name="th 2 22" xfId="760" xr:uid="{23FBE1E8-41C1-443F-AE67-AD8353CAD62F}"/>
    <cellStyle name="th 2 23" xfId="773" xr:uid="{CAB9406C-6871-4D29-9C70-4E2DCFD2597E}"/>
    <cellStyle name="th 2 24" xfId="786" xr:uid="{052048DB-2F13-42E8-91D1-3793E89D3B0F}"/>
    <cellStyle name="th 2 25" xfId="799" xr:uid="{892E18FC-F6EB-46B1-AA9E-B35C3ECB27FD}"/>
    <cellStyle name="th 2 26" xfId="812" xr:uid="{AEDE8F97-73D2-476F-9FFC-540523EE36EC}"/>
    <cellStyle name="th 2 27" xfId="825" xr:uid="{82474E7E-D824-4F15-9CE4-6B7F3DE3920A}"/>
    <cellStyle name="th 2 28" xfId="838" xr:uid="{A7A31BAC-F24A-4042-94B3-5DA6447F2488}"/>
    <cellStyle name="th 2 29" xfId="851" xr:uid="{82F9705A-9CAB-453C-B187-0BF38A76D1A7}"/>
    <cellStyle name="th 2 3" xfId="534" xr:uid="{4F5E728F-0364-42FF-86B8-06A9E27F0F06}"/>
    <cellStyle name="th 2 4" xfId="547" xr:uid="{E49A736D-E892-4444-A7FF-9DE11DC39DDC}"/>
    <cellStyle name="th 2 5" xfId="561" xr:uid="{B84EFE11-54C3-4AB8-B0E8-5D3C942164E6}"/>
    <cellStyle name="th 2 6" xfId="574" xr:uid="{7D441FD6-A344-49A9-B140-25C6240DE883}"/>
    <cellStyle name="th 2 7" xfId="587" xr:uid="{0FB72F4D-4604-4248-AB5B-655B27F810AC}"/>
    <cellStyle name="th 2 8" xfId="602" xr:uid="{DE7B160D-B053-4E4E-977C-69C1F8786365}"/>
    <cellStyle name="th 2 9" xfId="470" xr:uid="{9332D19B-9755-4365-A890-7494E1D982F9}"/>
    <cellStyle name="viet" xfId="329" xr:uid="{56B92692-1EB3-4F14-ACE4-F2D714C9E518}"/>
    <cellStyle name="viet2" xfId="330" xr:uid="{DEDDA2BD-2787-4707-8E17-7357DC85A386}"/>
    <cellStyle name="viet2 2" xfId="455" xr:uid="{8DC08564-D1F8-462F-A6F9-B3A4C3F1F96D}"/>
    <cellStyle name="viet2 2 10" xfId="615" xr:uid="{6EB05053-49F0-4F97-8E8C-15966F0574BA}"/>
    <cellStyle name="viet2 2 11" xfId="628" xr:uid="{10F5CD4E-1BA7-4574-BB8E-32099176FBF9}"/>
    <cellStyle name="viet2 2 12" xfId="641" xr:uid="{0D65C531-A0EC-4029-B64E-4F895D348A3A}"/>
    <cellStyle name="viet2 2 13" xfId="654" xr:uid="{3F5A8E9D-277A-45AA-A116-E917739C41EC}"/>
    <cellStyle name="viet2 2 14" xfId="667" xr:uid="{CEA2590F-5B87-4632-B819-91ED1B7BADC6}"/>
    <cellStyle name="viet2 2 15" xfId="680" xr:uid="{54744AA7-0F99-483F-B227-9CE1E3AD38EE}"/>
    <cellStyle name="viet2 2 16" xfId="693" xr:uid="{88343391-E76B-4810-8492-8E0DEE13D79A}"/>
    <cellStyle name="viet2 2 17" xfId="489" xr:uid="{26F42400-499A-4FCD-B827-522C6938F20C}"/>
    <cellStyle name="viet2 2 18" xfId="707" xr:uid="{C1F89979-EF58-4BF1-8A30-D6B2A7711338}"/>
    <cellStyle name="viet2 2 19" xfId="720" xr:uid="{CAA093B8-F935-4AC9-8F18-791DCFB70BA9}"/>
    <cellStyle name="viet2 2 2" xfId="520" xr:uid="{6F1AB6B0-51E9-4FBC-9F9E-05477894D7DC}"/>
    <cellStyle name="viet2 2 20" xfId="733" xr:uid="{416D175A-BCD6-4C0B-A594-17E5C0CEFF7C}"/>
    <cellStyle name="viet2 2 21" xfId="746" xr:uid="{9F9784C6-6330-47DF-96E6-97F411800566}"/>
    <cellStyle name="viet2 2 22" xfId="759" xr:uid="{FCC2D48A-1C25-4112-92C2-B63DD08311A3}"/>
    <cellStyle name="viet2 2 23" xfId="772" xr:uid="{363D4089-1A01-400B-A110-CA945734833A}"/>
    <cellStyle name="viet2 2 24" xfId="785" xr:uid="{F8FDE8E8-C134-4A5B-987A-9691ECA4C55A}"/>
    <cellStyle name="viet2 2 25" xfId="798" xr:uid="{3CEE565E-466D-4891-BA94-07AB2F1C19F5}"/>
    <cellStyle name="viet2 2 26" xfId="811" xr:uid="{F8E759B8-897F-4E85-BE27-6B9114F3ACB5}"/>
    <cellStyle name="viet2 2 27" xfId="824" xr:uid="{A4742378-ECB2-40F5-8FD5-835BAA860B6D}"/>
    <cellStyle name="viet2 2 28" xfId="837" xr:uid="{ECD33CE8-341C-4BCE-9DC1-C44EA17CE474}"/>
    <cellStyle name="viet2 2 29" xfId="850" xr:uid="{BD02804F-FC8D-4090-ADC9-050CFF8590BF}"/>
    <cellStyle name="viet2 2 3" xfId="533" xr:uid="{FD9C222B-52DB-4919-8A95-66DE90E910A6}"/>
    <cellStyle name="viet2 2 4" xfId="546" xr:uid="{569D91AE-E064-486B-B6D8-0A9225E9BB56}"/>
    <cellStyle name="viet2 2 5" xfId="560" xr:uid="{052138F2-6C80-4576-9291-D94DA105F214}"/>
    <cellStyle name="viet2 2 6" xfId="573" xr:uid="{2C906F4B-3140-4161-8E83-F904418D627A}"/>
    <cellStyle name="viet2 2 7" xfId="586" xr:uid="{B7676053-F25B-409F-ADEB-C3718278EF3D}"/>
    <cellStyle name="viet2 2 8" xfId="601" xr:uid="{344C5315-B0BE-4D60-9255-369C9DA6DBFD}"/>
    <cellStyle name="viet2 2 9" xfId="499" xr:uid="{FECDB60B-CD93-4CC7-964A-1309C5213C0A}"/>
    <cellStyle name="Währung [0]_UXO VII" xfId="331" xr:uid="{C5D27789-4E86-4D46-BB4C-A5458D9D5A68}"/>
    <cellStyle name="Währung_UXO VII" xfId="332" xr:uid="{BCC222F4-34D0-4097-B05E-B90CA617707B}"/>
    <cellStyle name="Warning Text 2" xfId="426" xr:uid="{A2E2FA00-C56F-4F5F-B137-C97617076306}"/>
    <cellStyle name="똿뗦먛귟 [0.00]_PRODUCT DETAIL Q1" xfId="36" xr:uid="{C603FEF3-FB5D-468D-BB32-5F5A394B6823}"/>
    <cellStyle name="똿뗦먛귟_PRODUCT DETAIL Q1" xfId="37" xr:uid="{F8A0A2F2-228B-4880-994A-17A17D5752AE}"/>
    <cellStyle name="믅됞 [0.00]_PRODUCT DETAIL Q1" xfId="38" xr:uid="{F43C352E-CB94-4C51-BB96-3AB24AAD4BCA}"/>
    <cellStyle name="믅됞_PRODUCT DETAIL Q1" xfId="39" xr:uid="{1E478B8D-1EA5-486B-93B8-F27D41936742}"/>
    <cellStyle name="백분율_95" xfId="333" xr:uid="{3FAFA5B4-7859-4DF3-8ECD-C942FFED5721}"/>
    <cellStyle name="뷭?_BOOKSHIP" xfId="40" xr:uid="{51553B79-B24D-459F-A93A-8EB874D6F130}"/>
    <cellStyle name="콤마 [0]_1202" xfId="41" xr:uid="{AF097089-43BA-44E9-90CA-0E56FB3EA1BA}"/>
    <cellStyle name="콤마_1202" xfId="42" xr:uid="{2036E132-2B09-4F94-9659-649F35274773}"/>
    <cellStyle name="통화 [0]_1202" xfId="43" xr:uid="{BCFA07F5-33E7-4C4A-8AB4-C326D51796CA}"/>
    <cellStyle name="통화_1202" xfId="44" xr:uid="{B749BD0A-E502-4D6A-9C71-06558ECA0964}"/>
    <cellStyle name="표준_(정보부문)월별인원계획" xfId="45" xr:uid="{DC5C6A88-9DBF-4327-A1A3-C908B8989A62}"/>
    <cellStyle name="一般_Book1" xfId="334" xr:uid="{2BB773E7-C938-4CD4-B3D9-D7B135327050}"/>
    <cellStyle name="千分位[0]_Book1" xfId="335" xr:uid="{52F3589C-EDBD-48C2-BC33-56DD87211769}"/>
    <cellStyle name="千分位_Book1" xfId="336" xr:uid="{BC73B134-3EE2-4E28-874F-16057DEC2C97}"/>
    <cellStyle name="貨幣 [0]_Book1" xfId="337" xr:uid="{A207C79D-19DA-46DA-B204-A9EDF1E36ABB}"/>
    <cellStyle name="貨幣[0]_MATL COST ANALYSIS" xfId="338" xr:uid="{D55743FF-2CD6-4113-A53D-AB8E12F982AE}"/>
    <cellStyle name="貨幣_Book1" xfId="339" xr:uid="{EEBFACD4-D6EB-4325-AA7D-5EF35D5744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41243</xdr:colOff>
      <xdr:row>44</xdr:row>
      <xdr:rowOff>36988</xdr:rowOff>
    </xdr:from>
    <xdr:ext cx="1816132" cy="2582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260443" y="4532788"/>
              <a:ext cx="1816132" cy="2582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12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𝜀</m:t>
                  </m:r>
                  <m:r>
                    <a:rPr lang="en-US" sz="1200" i="1">
                      <a:latin typeface="Cambria Math" panose="02040503050406030204" pitchFamily="18" charset="0"/>
                    </a:rPr>
                    <m:t>=</m:t>
                  </m:r>
                  <m:r>
                    <a:rPr lang="en-US" sz="1200" b="0" i="1">
                      <a:latin typeface="Cambria Math" panose="02040503050406030204" pitchFamily="18" charset="0"/>
                    </a:rPr>
                    <m:t>0.85∗</m:t>
                  </m:r>
                  <m:rad>
                    <m:radPr>
                      <m:degHide m:val="on"/>
                      <m:ctrlPr>
                        <a:rPr lang="en-US" sz="1200" i="1">
                          <a:latin typeface="Cambria Math" panose="02040503050406030204" pitchFamily="18" charset="0"/>
                        </a:rPr>
                      </m:ctrlPr>
                    </m:radPr>
                    <m:deg/>
                    <m:e>
                      <m:r>
                        <a:rPr lang="en-US" sz="1200" b="0" i="1">
                          <a:latin typeface="Cambria Math" panose="02040503050406030204" pitchFamily="18" charset="0"/>
                        </a:rPr>
                        <m:t>235/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𝑓𝑦</m:t>
                      </m:r>
                    </m:e>
                  </m:rad>
                </m:oMath>
              </a14:m>
              <a:r>
                <a:rPr lang="en-US" sz="1200"/>
                <a:t> =</a:t>
              </a: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260443" y="4532788"/>
              <a:ext cx="1816132" cy="2582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𝜀</a:t>
              </a:r>
              <a:r>
                <a:rPr lang="en-US" sz="1200" i="0">
                  <a:latin typeface="Cambria Math" panose="02040503050406030204" pitchFamily="18" charset="0"/>
                </a:rPr>
                <a:t>=</a:t>
              </a:r>
              <a:r>
                <a:rPr lang="en-US" sz="1200" b="0" i="0">
                  <a:latin typeface="Cambria Math" panose="02040503050406030204" pitchFamily="18" charset="0"/>
                </a:rPr>
                <a:t>0.85∗</a:t>
              </a:r>
              <a:r>
                <a:rPr lang="en-US" sz="1200" i="0">
                  <a:latin typeface="Cambria Math" panose="02040503050406030204" pitchFamily="18" charset="0"/>
                </a:rPr>
                <a:t>√(</a:t>
              </a:r>
              <a:r>
                <a:rPr lang="en-US" sz="1200" b="0" i="0">
                  <a:latin typeface="Cambria Math" panose="02040503050406030204" pitchFamily="18" charset="0"/>
                </a:rPr>
                <a:t>235/𝑓𝑦)</a:t>
              </a:r>
              <a:r>
                <a:rPr lang="en-US" sz="1200"/>
                <a:t> =</a:t>
              </a:r>
            </a:p>
          </xdr:txBody>
        </xdr:sp>
      </mc:Fallback>
    </mc:AlternateContent>
    <xdr:clientData/>
  </xdr:oneCellAnchor>
  <xdr:oneCellAnchor>
    <xdr:from>
      <xdr:col>0</xdr:col>
      <xdr:colOff>66674</xdr:colOff>
      <xdr:row>79</xdr:row>
      <xdr:rowOff>57150</xdr:rowOff>
    </xdr:from>
    <xdr:ext cx="2495551" cy="5048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66674" y="14782800"/>
              <a:ext cx="2495551" cy="504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4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4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𝜇</m:t>
                      </m:r>
                    </m:e>
                    <m:sub>
                      <m:r>
                        <a:rPr lang="en-US" sz="14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en-US" sz="140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𝑀</m:t>
                          </m:r>
                        </m:e>
                        <m:sub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,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𝑓𝑖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,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𝐸𝑑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US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𝑊</m:t>
                          </m:r>
                        </m:e>
                        <m:sub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</m:sub>
                      </m:sSub>
                      <m:sSub>
                        <m:sSubPr>
                          <m:ctrlPr>
                            <a:rPr lang="en-US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𝑘</m:t>
                          </m:r>
                        </m:e>
                        <m:sub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𝑦</m:t>
                          </m:r>
                        </m:sub>
                      </m:sSub>
                      <m:r>
                        <a:rPr lang="en-US" sz="14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𝜃</m:t>
                      </m:r>
                      <m:f>
                        <m:fPr>
                          <m:ctrlPr>
                            <a:rPr lang="en-US" sz="140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4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𝑓𝑦</m:t>
                          </m:r>
                        </m:num>
                        <m:den>
                          <m:sSub>
                            <m:sSubPr>
                              <m:ctrlPr>
                                <a:rPr lang="en-US" sz="140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40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𝛾</m:t>
                              </m:r>
                            </m:e>
                            <m:sub>
                              <m:r>
                                <a:rPr lang="en-US" sz="14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𝑀</m:t>
                              </m:r>
                              <m:r>
                                <a:rPr lang="en-US" sz="14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,</m:t>
                              </m:r>
                              <m:r>
                                <a:rPr lang="en-US" sz="14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𝑓𝑖</m:t>
                              </m:r>
                            </m:sub>
                          </m:sSub>
                        </m:den>
                      </m:f>
                    </m:den>
                  </m:f>
                </m:oMath>
              </a14:m>
              <a:r>
                <a:rPr lang="en-US" sz="1400"/>
                <a:t> +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𝑀</m:t>
                          </m:r>
                        </m:e>
                        <m:sub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,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,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𝐸𝑑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𝑊</m:t>
                          </m:r>
                        </m:e>
                        <m:sub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</m:sub>
                      </m:sSub>
                      <m:sSub>
                        <m:sSub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𝑘</m:t>
                          </m:r>
                        </m:e>
                        <m:sub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</m:sub>
                      </m:sSub>
                      <m:r>
                        <a:rPr lang="en-US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𝜃</m:t>
                      </m:r>
                      <m:f>
                        <m:f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𝑓𝑦</m:t>
                          </m:r>
                        </m:num>
                        <m:den>
                          <m:sSub>
                            <m:sSubPr>
                              <m:ctrlPr>
                                <a:rPr lang="en-US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US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𝛾</m:t>
                              </m:r>
                            </m:e>
                            <m:sub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𝑀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,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𝑓𝑖</m:t>
                              </m:r>
                            </m:sub>
                          </m:sSub>
                        </m:den>
                      </m:f>
                    </m:den>
                  </m:f>
                </m:oMath>
              </a14:m>
              <a:r>
                <a:rPr lang="en-US" sz="1400"/>
                <a:t> ≤ 1</a:t>
              </a: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6674" y="14782800"/>
              <a:ext cx="2495551" cy="504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400" b="0" i="0">
                  <a:latin typeface="Cambria Math" panose="02040503050406030204" pitchFamily="18" charset="0"/>
                </a:rPr>
                <a:t>0</a:t>
              </a:r>
              <a:r>
                <a:rPr lang="en-US" sz="1400" i="0">
                  <a:latin typeface="Cambria Math" panose="02040503050406030204" pitchFamily="18" charset="0"/>
                </a:rPr>
                <a:t>=</a:t>
              </a:r>
              <a:r>
                <a:rPr lang="en-US" sz="1400" b="0" i="0">
                  <a:latin typeface="Cambria Math" panose="02040503050406030204" pitchFamily="18" charset="0"/>
                </a:rPr>
                <a:t>𝑀_(𝑥,𝑓𝑖,𝐸𝑑)/(𝑊_𝑥 𝑘_𝑦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en-US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𝑓𝑦/</a:t>
              </a:r>
              <a:r>
                <a:rPr lang="en-US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𝛾_(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𝑀,𝑓𝑖) )</a:t>
              </a:r>
              <a:r>
                <a:rPr lang="en-US" sz="1400"/>
                <a:t> + 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𝑀_(𝑦,𝑓𝑖,𝐸𝑑)/(𝑊_𝑦 𝑘_𝑦 </a:t>
              </a:r>
              <a:r>
                <a:rPr lang="en-US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𝑓𝑦/</a:t>
              </a:r>
              <a:r>
                <a:rPr lang="en-US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𝛾_(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𝑀,𝑓𝑖) )</a:t>
              </a:r>
              <a:r>
                <a:rPr lang="en-US" sz="1400"/>
                <a:t> ≤ 1</a:t>
              </a:r>
            </a:p>
          </xdr:txBody>
        </xdr:sp>
      </mc:Fallback>
    </mc:AlternateContent>
    <xdr:clientData/>
  </xdr:oneCellAnchor>
  <xdr:oneCellAnchor>
    <xdr:from>
      <xdr:col>0</xdr:col>
      <xdr:colOff>47624</xdr:colOff>
      <xdr:row>81</xdr:row>
      <xdr:rowOff>180975</xdr:rowOff>
    </xdr:from>
    <xdr:ext cx="400051" cy="200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47624" y="12353925"/>
              <a:ext cx="400051" cy="200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𝜇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</m:oMath>
              </a14:m>
              <a:r>
                <a:rPr lang="en-US" sz="1100"/>
                <a:t> =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Wy = </a:t>
              </a:r>
              <a:endParaRPr lang="en-US" sz="1100"/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47624" y="12353925"/>
              <a:ext cx="400051" cy="200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100" b="0" i="0">
                  <a:latin typeface="Cambria Math" panose="02040503050406030204" pitchFamily="18" charset="0"/>
                </a:rPr>
                <a:t>0</a:t>
              </a:r>
              <a:r>
                <a:rPr lang="en-US" sz="1100"/>
                <a:t> =</a:t>
              </a:r>
              <a:r>
                <a:rPr lang="en-US" sz="1100" b="0" i="0" u="none" strike="noStrike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Wy = </a:t>
              </a:r>
              <a:endParaRPr lang="en-US" sz="1100"/>
            </a:p>
            <a:p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47625</xdr:colOff>
      <xdr:row>82</xdr:row>
      <xdr:rowOff>0</xdr:rowOff>
    </xdr:from>
    <xdr:ext cx="400051" cy="200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2514600" y="12363450"/>
              <a:ext cx="400051" cy="200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𝜇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</m:oMath>
              </a14:m>
              <a:r>
                <a:rPr lang="en-US" sz="1100"/>
                <a:t> =</a:t>
              </a:r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13" name="TextBox 12"/>
            <xdr:cNvSpPr txBox="1"/>
          </xdr:nvSpPr>
          <xdr:spPr>
            <a:xfrm>
              <a:off x="2514600" y="12363450"/>
              <a:ext cx="400051" cy="200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100" b="0" i="0">
                  <a:latin typeface="Cambria Math" panose="02040503050406030204" pitchFamily="18" charset="0"/>
                </a:rPr>
                <a:t>0</a:t>
              </a:r>
              <a:r>
                <a:rPr lang="en-US" sz="1100"/>
                <a:t> =</a:t>
              </a:r>
            </a:p>
            <a:p>
              <a:endParaRPr lang="en-US" sz="1100"/>
            </a:p>
          </xdr:txBody>
        </xdr:sp>
      </mc:Fallback>
    </mc:AlternateContent>
    <xdr:clientData/>
  </xdr:oneCellAnchor>
  <xdr:oneCellAnchor>
    <xdr:from>
      <xdr:col>0</xdr:col>
      <xdr:colOff>28575</xdr:colOff>
      <xdr:row>84</xdr:row>
      <xdr:rowOff>47625</xdr:rowOff>
    </xdr:from>
    <xdr:ext cx="2676525" cy="3905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8575" y="16173450"/>
              <a:ext cx="2676525" cy="3905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2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𝜃</m:t>
                      </m:r>
                    </m:e>
                    <m:sub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𝑐𝑟</m:t>
                      </m:r>
                    </m:sub>
                  </m:sSub>
                </m:oMath>
              </a14:m>
              <a:r>
                <a:rPr lang="en-US" sz="1200"/>
                <a:t> = 39.19 ln </a:t>
              </a:r>
              <a14:m>
                <m:oMath xmlns:m="http://schemas.openxmlformats.org/officeDocument/2006/math">
                  <m:r>
                    <a:rPr lang="en-US" sz="1600" b="0" i="1">
                      <a:latin typeface="Cambria Math" panose="02040503050406030204" pitchFamily="18" charset="0"/>
                    </a:rPr>
                    <m:t>[</m:t>
                  </m:r>
                  <m:f>
                    <m:fPr>
                      <m:ctrlPr>
                        <a:rPr lang="en-US" sz="16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600" b="0" i="1">
                          <a:latin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a:rPr lang="en-US" sz="1600" b="0" i="1">
                          <a:latin typeface="Cambria Math" panose="02040503050406030204" pitchFamily="18" charset="0"/>
                        </a:rPr>
                        <m:t>0.9674</m:t>
                      </m:r>
                      <m:sSubSup>
                        <m:sSubSupPr>
                          <m:ctrlPr>
                            <a:rPr lang="en-US" sz="1600" b="0" i="1">
                              <a:latin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en-US" sz="16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𝜇</m:t>
                          </m:r>
                        </m:e>
                        <m:sub>
                          <m:r>
                            <a:rPr lang="en-US" sz="16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  <m:sup>
                          <m:r>
                            <a:rPr lang="en-US" sz="1600" b="0" i="1">
                              <a:latin typeface="Cambria Math" panose="02040503050406030204" pitchFamily="18" charset="0"/>
                            </a:rPr>
                            <m:t>3.883</m:t>
                          </m:r>
                        </m:sup>
                      </m:sSubSup>
                    </m:den>
                  </m:f>
                </m:oMath>
              </a14:m>
              <a:r>
                <a:rPr lang="en-US" sz="1200"/>
                <a:t>-1]</a:t>
              </a:r>
              <a:r>
                <a:rPr lang="en-US" sz="1200" baseline="0"/>
                <a:t>+482 (độ)</a:t>
              </a:r>
              <a:endParaRPr lang="en-US" sz="12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28575" y="16173450"/>
              <a:ext cx="2676525" cy="3905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𝜃_</a:t>
              </a:r>
              <a:r>
                <a:rPr lang="en-US" sz="1200" b="0" i="0">
                  <a:latin typeface="Cambria Math" panose="02040503050406030204" pitchFamily="18" charset="0"/>
                </a:rPr>
                <a:t>𝑐𝑟</a:t>
              </a:r>
              <a:r>
                <a:rPr lang="en-US" sz="1200"/>
                <a:t> = 39.19 ln </a:t>
              </a:r>
              <a:r>
                <a:rPr lang="en-US" sz="1600" b="0" i="0">
                  <a:latin typeface="Cambria Math" panose="02040503050406030204" pitchFamily="18" charset="0"/>
                </a:rPr>
                <a:t>[1/(0.9674</a:t>
              </a:r>
              <a:r>
                <a:rPr lang="en-US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600" b="0" i="0">
                  <a:latin typeface="Cambria Math" panose="02040503050406030204" pitchFamily="18" charset="0"/>
                </a:rPr>
                <a:t>0^3.883 )</a:t>
              </a:r>
              <a:r>
                <a:rPr lang="en-US" sz="1200"/>
                <a:t>-1]</a:t>
              </a:r>
              <a:r>
                <a:rPr lang="en-US" sz="1200" baseline="0"/>
                <a:t>+482 (độ)</a:t>
              </a:r>
              <a:endParaRPr lang="en-US" sz="1200"/>
            </a:p>
          </xdr:txBody>
        </xdr:sp>
      </mc:Fallback>
    </mc:AlternateContent>
    <xdr:clientData/>
  </xdr:oneCellAnchor>
  <xdr:oneCellAnchor>
    <xdr:from>
      <xdr:col>0</xdr:col>
      <xdr:colOff>69818</xdr:colOff>
      <xdr:row>85</xdr:row>
      <xdr:rowOff>27463</xdr:rowOff>
    </xdr:from>
    <xdr:ext cx="435007" cy="2678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69818" y="13229113"/>
              <a:ext cx="435007" cy="267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2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𝜃</m:t>
                      </m:r>
                    </m:e>
                    <m:sub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𝑐𝑟</m:t>
                      </m:r>
                    </m:sub>
                  </m:sSub>
                </m:oMath>
              </a14:m>
              <a:r>
                <a:rPr lang="en-US" sz="1200"/>
                <a:t> =</a:t>
              </a:r>
            </a:p>
          </xdr:txBody>
        </xdr:sp>
      </mc:Choice>
      <mc:Fallback xmlns="">
        <xdr:sp macro="" textlink="">
          <xdr:nvSpPr>
            <xdr:cNvPr id="16" name="TextBox 15"/>
            <xdr:cNvSpPr txBox="1"/>
          </xdr:nvSpPr>
          <xdr:spPr>
            <a:xfrm>
              <a:off x="69818" y="13229113"/>
              <a:ext cx="435007" cy="267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𝜃_</a:t>
              </a:r>
              <a:r>
                <a:rPr lang="en-US" sz="1200" b="0" i="0">
                  <a:latin typeface="Cambria Math" panose="02040503050406030204" pitchFamily="18" charset="0"/>
                </a:rPr>
                <a:t>𝑐𝑟</a:t>
              </a:r>
              <a:r>
                <a:rPr lang="en-US" sz="1200"/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95250</xdr:colOff>
      <xdr:row>85</xdr:row>
      <xdr:rowOff>9525</xdr:rowOff>
    </xdr:from>
    <xdr:ext cx="435007" cy="2678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3009900" y="16592550"/>
              <a:ext cx="435007" cy="267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2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𝜃</m:t>
                      </m:r>
                    </m:e>
                    <m:sub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𝑐𝑟</m:t>
                      </m:r>
                    </m:sub>
                  </m:sSub>
                </m:oMath>
              </a14:m>
              <a:r>
                <a:rPr lang="en-US" sz="1200"/>
                <a:t> =</a:t>
              </a:r>
            </a:p>
          </xdr:txBody>
        </xdr:sp>
      </mc:Choice>
      <mc:Fallback xmlns="">
        <xdr:sp macro="" textlink="">
          <xdr:nvSpPr>
            <xdr:cNvPr id="17" name="TextBox 16"/>
            <xdr:cNvSpPr txBox="1"/>
          </xdr:nvSpPr>
          <xdr:spPr>
            <a:xfrm>
              <a:off x="3009900" y="16592550"/>
              <a:ext cx="435007" cy="267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𝜃_</a:t>
              </a:r>
              <a:r>
                <a:rPr lang="en-US" sz="1200" b="0" i="0">
                  <a:latin typeface="Cambria Math" panose="02040503050406030204" pitchFamily="18" charset="0"/>
                </a:rPr>
                <a:t>𝑐𝑟</a:t>
              </a:r>
              <a:r>
                <a:rPr lang="en-US" sz="1200"/>
                <a:t> =</a:t>
              </a:r>
            </a:p>
          </xdr:txBody>
        </xdr:sp>
      </mc:Fallback>
    </mc:AlternateContent>
    <xdr:clientData/>
  </xdr:oneCellAnchor>
  <xdr:oneCellAnchor>
    <xdr:from>
      <xdr:col>2</xdr:col>
      <xdr:colOff>180975</xdr:colOff>
      <xdr:row>79</xdr:row>
      <xdr:rowOff>28575</xdr:rowOff>
    </xdr:from>
    <xdr:ext cx="2495551" cy="5048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3095625" y="14754225"/>
              <a:ext cx="2495551" cy="504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4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4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𝜇</m:t>
                      </m:r>
                    </m:e>
                    <m:sub>
                      <m:r>
                        <a:rPr lang="en-US" sz="14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en-US" sz="140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US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𝑀</m:t>
                          </m:r>
                        </m:e>
                        <m:sub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,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𝑓𝑖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,</m:t>
                          </m:r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𝐸𝑑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US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𝑊</m:t>
                          </m:r>
                        </m:e>
                        <m:sub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𝑥</m:t>
                          </m:r>
                        </m:sub>
                      </m:sSub>
                      <m:sSub>
                        <m:sSubPr>
                          <m:ctrlPr>
                            <a:rPr lang="en-US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𝑘</m:t>
                          </m:r>
                        </m:e>
                        <m:sub>
                          <m:r>
                            <a:rPr lang="en-US" sz="1400" b="0" i="1">
                              <a:latin typeface="Cambria Math" panose="02040503050406030204" pitchFamily="18" charset="0"/>
                            </a:rPr>
                            <m:t>𝑦</m:t>
                          </m:r>
                        </m:sub>
                      </m:sSub>
                      <m:r>
                        <a:rPr lang="en-US" sz="14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𝜃</m:t>
                      </m:r>
                      <m:f>
                        <m:fPr>
                          <m:ctrlPr>
                            <a:rPr lang="en-US" sz="140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4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𝑓𝑦</m:t>
                          </m:r>
                        </m:num>
                        <m:den>
                          <m:sSub>
                            <m:sSubPr>
                              <m:ctrlPr>
                                <a:rPr lang="en-US" sz="140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en-US" sz="140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𝛾</m:t>
                              </m:r>
                            </m:e>
                            <m:sub>
                              <m:r>
                                <a:rPr lang="en-US" sz="14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𝑀</m:t>
                              </m:r>
                              <m:r>
                                <a:rPr lang="en-US" sz="14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,</m:t>
                              </m:r>
                              <m:r>
                                <a:rPr lang="en-US" sz="14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𝑓𝑖</m:t>
                              </m:r>
                            </m:sub>
                          </m:sSub>
                        </m:den>
                      </m:f>
                    </m:den>
                  </m:f>
                </m:oMath>
              </a14:m>
              <a:r>
                <a:rPr lang="en-US" sz="1400"/>
                <a:t> +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𝑀</m:t>
                          </m:r>
                        </m:e>
                        <m:sub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,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,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𝐸𝑑</m:t>
                          </m:r>
                        </m:sub>
                      </m:sSub>
                    </m:num>
                    <m:den>
                      <m:sSub>
                        <m:sSub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𝑊</m:t>
                          </m:r>
                        </m:e>
                        <m:sub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</m:sub>
                      </m:sSub>
                      <m:sSub>
                        <m:sSub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𝑘</m:t>
                          </m:r>
                        </m:e>
                        <m:sub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𝑦</m:t>
                          </m:r>
                        </m:sub>
                      </m:sSub>
                      <m:r>
                        <a:rPr lang="en-US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𝜃</m:t>
                      </m:r>
                      <m:f>
                        <m:fPr>
                          <m:ctrlPr>
                            <a:rPr lang="en-US" sz="14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𝑓𝑦</m:t>
                          </m:r>
                        </m:num>
                        <m:den>
                          <m:sSub>
                            <m:sSubPr>
                              <m:ctrlPr>
                                <a:rPr lang="en-US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US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𝛾</m:t>
                              </m:r>
                            </m:e>
                            <m:sub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𝑀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,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𝑓𝑖</m:t>
                              </m:r>
                            </m:sub>
                          </m:sSub>
                        </m:den>
                      </m:f>
                    </m:den>
                  </m:f>
                </m:oMath>
              </a14:m>
              <a:r>
                <a:rPr lang="en-US" sz="1400"/>
                <a:t> ≤ 1</a:t>
              </a:r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3095625" y="14754225"/>
              <a:ext cx="2495551" cy="504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400" b="0" i="0">
                  <a:latin typeface="Cambria Math" panose="02040503050406030204" pitchFamily="18" charset="0"/>
                </a:rPr>
                <a:t>0</a:t>
              </a:r>
              <a:r>
                <a:rPr lang="en-US" sz="1400" i="0">
                  <a:latin typeface="Cambria Math" panose="02040503050406030204" pitchFamily="18" charset="0"/>
                </a:rPr>
                <a:t>=</a:t>
              </a:r>
              <a:r>
                <a:rPr lang="en-US" sz="1400" b="0" i="0">
                  <a:latin typeface="Cambria Math" panose="02040503050406030204" pitchFamily="18" charset="0"/>
                </a:rPr>
                <a:t>𝑀_(𝑥,𝑓𝑖,𝐸𝑑)/(𝑊_𝑥 𝑘_𝑦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en-US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𝑓𝑦/</a:t>
              </a:r>
              <a:r>
                <a:rPr lang="en-US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𝛾_(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𝑀,𝑓𝑖) )</a:t>
              </a:r>
              <a:r>
                <a:rPr lang="en-US" sz="1400"/>
                <a:t> + 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𝑀_(𝑦,𝑓𝑖,𝐸𝑑)/(𝑊_𝑦 𝑘_𝑦 </a:t>
              </a:r>
              <a:r>
                <a:rPr lang="en-US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𝑓𝑦/</a:t>
              </a:r>
              <a:r>
                <a:rPr lang="en-US" sz="14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𝛾_(</a:t>
              </a:r>
              <a:r>
                <a:rPr 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𝑀,𝑓𝑖) )</a:t>
              </a:r>
              <a:r>
                <a:rPr lang="en-US" sz="1400"/>
                <a:t> ≤ 1</a:t>
              </a:r>
            </a:p>
          </xdr:txBody>
        </xdr:sp>
      </mc:Fallback>
    </mc:AlternateContent>
    <xdr:clientData/>
  </xdr:oneCellAnchor>
  <xdr:oneCellAnchor>
    <xdr:from>
      <xdr:col>2</xdr:col>
      <xdr:colOff>95250</xdr:colOff>
      <xdr:row>84</xdr:row>
      <xdr:rowOff>28575</xdr:rowOff>
    </xdr:from>
    <xdr:ext cx="2676525" cy="3905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3009900" y="16154400"/>
              <a:ext cx="2676525" cy="3905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en-US" sz="12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𝜃</m:t>
                      </m:r>
                    </m:e>
                    <m:sub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𝑐𝑟</m:t>
                      </m:r>
                    </m:sub>
                  </m:sSub>
                </m:oMath>
              </a14:m>
              <a:r>
                <a:rPr lang="en-US" sz="1200"/>
                <a:t> = 39.19 ln </a:t>
              </a:r>
              <a14:m>
                <m:oMath xmlns:m="http://schemas.openxmlformats.org/officeDocument/2006/math">
                  <m:r>
                    <a:rPr lang="en-US" sz="1600" b="0" i="1">
                      <a:latin typeface="Cambria Math" panose="02040503050406030204" pitchFamily="18" charset="0"/>
                    </a:rPr>
                    <m:t>[</m:t>
                  </m:r>
                  <m:f>
                    <m:fPr>
                      <m:ctrlPr>
                        <a:rPr lang="en-US" sz="16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600" b="0" i="1">
                          <a:latin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a:rPr lang="en-US" sz="1600" b="0" i="1">
                          <a:latin typeface="Cambria Math" panose="02040503050406030204" pitchFamily="18" charset="0"/>
                        </a:rPr>
                        <m:t>0.9674</m:t>
                      </m:r>
                      <m:sSubSup>
                        <m:sSubSupPr>
                          <m:ctrlPr>
                            <a:rPr lang="en-US" sz="1600" b="0" i="1">
                              <a:latin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en-US" sz="16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𝜇</m:t>
                          </m:r>
                        </m:e>
                        <m:sub>
                          <m:r>
                            <a:rPr lang="en-US" sz="16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  <m:sup>
                          <m:r>
                            <a:rPr lang="en-US" sz="1600" b="0" i="1">
                              <a:latin typeface="Cambria Math" panose="02040503050406030204" pitchFamily="18" charset="0"/>
                            </a:rPr>
                            <m:t>3.883</m:t>
                          </m:r>
                        </m:sup>
                      </m:sSubSup>
                    </m:den>
                  </m:f>
                </m:oMath>
              </a14:m>
              <a:r>
                <a:rPr lang="en-US" sz="1200"/>
                <a:t>-1]</a:t>
              </a:r>
              <a:r>
                <a:rPr lang="en-US" sz="1200" baseline="0"/>
                <a:t>+482 (độ)</a:t>
              </a:r>
              <a:endParaRPr lang="en-US" sz="1200"/>
            </a:p>
          </xdr:txBody>
        </xdr:sp>
      </mc:Choice>
      <mc:Fallback xmlns="">
        <xdr:sp macro="" textlink="">
          <xdr:nvSpPr>
            <xdr:cNvPr id="22" name="TextBox 21"/>
            <xdr:cNvSpPr txBox="1"/>
          </xdr:nvSpPr>
          <xdr:spPr>
            <a:xfrm>
              <a:off x="3009900" y="16154400"/>
              <a:ext cx="2676525" cy="3905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𝜃_</a:t>
              </a:r>
              <a:r>
                <a:rPr lang="en-US" sz="1200" b="0" i="0">
                  <a:latin typeface="Cambria Math" panose="02040503050406030204" pitchFamily="18" charset="0"/>
                </a:rPr>
                <a:t>𝑐𝑟</a:t>
              </a:r>
              <a:r>
                <a:rPr lang="en-US" sz="1200"/>
                <a:t> = 39.19 ln </a:t>
              </a:r>
              <a:r>
                <a:rPr lang="en-US" sz="1600" b="0" i="0">
                  <a:latin typeface="Cambria Math" panose="02040503050406030204" pitchFamily="18" charset="0"/>
                </a:rPr>
                <a:t>[1/(0.9674</a:t>
              </a:r>
              <a:r>
                <a:rPr lang="en-US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𝜇_</a:t>
              </a:r>
              <a:r>
                <a:rPr lang="en-US" sz="1600" b="0" i="0">
                  <a:latin typeface="Cambria Math" panose="02040503050406030204" pitchFamily="18" charset="0"/>
                </a:rPr>
                <a:t>0^3.883 )</a:t>
              </a:r>
              <a:r>
                <a:rPr lang="en-US" sz="1200"/>
                <a:t>-1]</a:t>
              </a:r>
              <a:r>
                <a:rPr lang="en-US" sz="1200" baseline="0"/>
                <a:t>+482 (độ)</a:t>
              </a:r>
              <a:endParaRPr lang="en-US" sz="1200"/>
            </a:p>
          </xdr:txBody>
        </xdr:sp>
      </mc:Fallback>
    </mc:AlternateContent>
    <xdr:clientData/>
  </xdr:oneCellAnchor>
  <xdr:twoCellAnchor editAs="oneCell">
    <xdr:from>
      <xdr:col>4</xdr:col>
      <xdr:colOff>219808</xdr:colOff>
      <xdr:row>29</xdr:row>
      <xdr:rowOff>157006</xdr:rowOff>
    </xdr:from>
    <xdr:to>
      <xdr:col>7</xdr:col>
      <xdr:colOff>85097</xdr:colOff>
      <xdr:row>37</xdr:row>
      <xdr:rowOff>44800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75" t="43077" r="47438" b="34666"/>
        <a:stretch>
          <a:fillRect/>
        </a:stretch>
      </xdr:blipFill>
      <xdr:spPr bwMode="auto">
        <a:xfrm>
          <a:off x="4814835" y="4720632"/>
          <a:ext cx="1498147" cy="1405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138163</xdr:colOff>
      <xdr:row>117</xdr:row>
      <xdr:rowOff>124287</xdr:rowOff>
    </xdr:from>
    <xdr:to>
      <xdr:col>7</xdr:col>
      <xdr:colOff>279659</xdr:colOff>
      <xdr:row>133</xdr:row>
      <xdr:rowOff>122255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70D356-D13D-CC28-2B46-D1F21F081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63" y="23377847"/>
          <a:ext cx="6639430" cy="2945485"/>
        </a:xfrm>
        <a:prstGeom prst="rect">
          <a:avLst/>
        </a:prstGeom>
      </xdr:spPr>
    </xdr:pic>
    <xdr:clientData/>
  </xdr:twoCellAnchor>
  <xdr:twoCellAnchor editAs="oneCell">
    <xdr:from>
      <xdr:col>15</xdr:col>
      <xdr:colOff>478972</xdr:colOff>
      <xdr:row>118</xdr:row>
      <xdr:rowOff>127359</xdr:rowOff>
    </xdr:from>
    <xdr:to>
      <xdr:col>26</xdr:col>
      <xdr:colOff>349180</xdr:colOff>
      <xdr:row>134</xdr:row>
      <xdr:rowOff>52993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8141BA5-0DA0-E6C0-B615-C13227659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62576" y="23565139"/>
          <a:ext cx="6636098" cy="287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3"/>
  <sheetViews>
    <sheetView tabSelected="1" view="pageBreakPreview" topLeftCell="A86" zoomScale="91" zoomScaleNormal="91" zoomScaleSheetLayoutView="91" workbookViewId="0">
      <selection activeCell="P107" sqref="P107:P110"/>
    </sheetView>
  </sheetViews>
  <sheetFormatPr defaultColWidth="9.109375" defaultRowHeight="14.4"/>
  <cols>
    <col min="1" max="1" width="29" style="6" customWidth="1"/>
    <col min="2" max="2" width="16.33203125" style="6" customWidth="1"/>
    <col min="3" max="3" width="16" style="6" customWidth="1"/>
    <col min="4" max="4" width="9.109375" style="6"/>
    <col min="5" max="7" width="8.109375" style="6" customWidth="1"/>
    <col min="8" max="8" width="8.77734375" style="6" customWidth="1"/>
    <col min="9" max="10" width="4.44140625" style="6" hidden="1" customWidth="1"/>
    <col min="11" max="14" width="0" style="6" hidden="1" customWidth="1"/>
    <col min="15" max="15" width="0" style="16" hidden="1" customWidth="1"/>
    <col min="16" max="16" width="22.21875" style="17" customWidth="1"/>
    <col min="17" max="17" width="9.88671875" style="17" customWidth="1"/>
    <col min="18" max="21" width="9.109375" style="17"/>
    <col min="22" max="27" width="6" style="17" customWidth="1"/>
    <col min="28" max="28" width="6" style="18" customWidth="1"/>
    <col min="29" max="30" width="6" style="9" customWidth="1"/>
    <col min="31" max="16384" width="9.109375" style="9"/>
  </cols>
  <sheetData>
    <row r="1" spans="1:28" ht="17.399999999999999">
      <c r="A1" s="5" t="s">
        <v>14</v>
      </c>
    </row>
    <row r="2" spans="1:28" ht="17.399999999999999">
      <c r="A2" s="5" t="s">
        <v>15</v>
      </c>
    </row>
    <row r="3" spans="1:28">
      <c r="A3" s="7" t="s">
        <v>16</v>
      </c>
    </row>
    <row r="4" spans="1:28">
      <c r="A4" s="7" t="s">
        <v>17</v>
      </c>
    </row>
    <row r="5" spans="1:28" ht="13.5" customHeight="1">
      <c r="A5" s="10"/>
      <c r="B5" s="3"/>
      <c r="C5" s="12"/>
      <c r="D5" s="3"/>
      <c r="E5" s="3"/>
      <c r="F5" s="3"/>
    </row>
    <row r="6" spans="1:28" s="231" customFormat="1" ht="13.5" customHeight="1">
      <c r="A6" s="7" t="s">
        <v>358</v>
      </c>
      <c r="B6" s="26"/>
      <c r="C6" s="226"/>
      <c r="D6" s="26"/>
      <c r="E6" s="26"/>
      <c r="F6" s="26"/>
      <c r="G6" s="227"/>
      <c r="H6" s="227"/>
      <c r="I6" s="227"/>
      <c r="J6" s="227"/>
      <c r="K6" s="227"/>
      <c r="L6" s="227"/>
      <c r="M6" s="227"/>
      <c r="N6" s="227"/>
      <c r="O6" s="228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30"/>
    </row>
    <row r="7" spans="1:28" s="231" customFormat="1" ht="13.5" customHeight="1">
      <c r="A7" s="7" t="s">
        <v>359</v>
      </c>
      <c r="B7" s="26"/>
      <c r="C7" s="226"/>
      <c r="D7" s="26"/>
      <c r="E7" s="26"/>
      <c r="F7" s="26"/>
      <c r="G7" s="227"/>
      <c r="H7" s="227"/>
      <c r="I7" s="227"/>
      <c r="J7" s="227"/>
      <c r="K7" s="227"/>
      <c r="L7" s="227"/>
      <c r="M7" s="227"/>
      <c r="N7" s="227"/>
      <c r="O7" s="228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30"/>
    </row>
    <row r="8" spans="1:28" s="231" customFormat="1" ht="13.5" customHeight="1">
      <c r="A8" s="7" t="s">
        <v>360</v>
      </c>
      <c r="B8" s="26"/>
      <c r="C8" s="226"/>
      <c r="D8" s="26"/>
      <c r="E8" s="26"/>
      <c r="F8" s="26"/>
      <c r="G8" s="227"/>
      <c r="H8" s="227"/>
      <c r="I8" s="227"/>
      <c r="J8" s="227"/>
      <c r="K8" s="227"/>
      <c r="L8" s="227"/>
      <c r="M8" s="227"/>
      <c r="N8" s="227"/>
      <c r="O8" s="228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30"/>
    </row>
    <row r="9" spans="1:28" ht="13.5" customHeight="1">
      <c r="A9" s="7" t="s">
        <v>361</v>
      </c>
      <c r="B9" s="3"/>
      <c r="C9" s="12"/>
      <c r="D9" s="3"/>
      <c r="E9" s="3"/>
      <c r="F9" s="3"/>
    </row>
    <row r="10" spans="1:28" ht="13.5" customHeight="1">
      <c r="A10" s="7"/>
      <c r="B10" s="3"/>
      <c r="C10" s="12"/>
      <c r="D10" s="3"/>
      <c r="E10" s="3"/>
      <c r="F10" s="3"/>
    </row>
    <row r="11" spans="1:28">
      <c r="A11" s="163" t="s">
        <v>18</v>
      </c>
      <c r="B11" s="3"/>
      <c r="C11" s="12"/>
      <c r="D11" s="3"/>
      <c r="E11" s="3"/>
      <c r="F11" s="3"/>
    </row>
    <row r="12" spans="1:28">
      <c r="A12" s="8" t="s">
        <v>19</v>
      </c>
      <c r="B12" s="11" t="s">
        <v>20</v>
      </c>
      <c r="C12" s="12"/>
      <c r="D12" s="3"/>
      <c r="E12" s="3"/>
      <c r="F12" s="3"/>
    </row>
    <row r="13" spans="1:28">
      <c r="A13" s="8" t="s">
        <v>21</v>
      </c>
      <c r="B13" s="11" t="s">
        <v>0</v>
      </c>
      <c r="D13" s="3"/>
      <c r="E13" s="3"/>
      <c r="F13" s="3"/>
    </row>
    <row r="14" spans="1:28">
      <c r="A14" s="81" t="s">
        <v>102</v>
      </c>
      <c r="B14" s="82" t="s">
        <v>81</v>
      </c>
    </row>
    <row r="15" spans="1:28">
      <c r="A15" s="8" t="s">
        <v>23</v>
      </c>
      <c r="B15" s="83" t="s">
        <v>1</v>
      </c>
      <c r="C15" s="86">
        <v>350</v>
      </c>
      <c r="D15" s="6" t="s">
        <v>37</v>
      </c>
    </row>
    <row r="16" spans="1:28">
      <c r="A16" s="22" t="s">
        <v>92</v>
      </c>
      <c r="B16" s="83" t="s">
        <v>93</v>
      </c>
      <c r="C16" s="86">
        <v>320</v>
      </c>
      <c r="D16" s="6" t="s">
        <v>37</v>
      </c>
    </row>
    <row r="17" spans="1:30">
      <c r="A17" s="22" t="s">
        <v>94</v>
      </c>
      <c r="B17" s="83" t="s">
        <v>95</v>
      </c>
      <c r="C17" s="86">
        <v>420</v>
      </c>
      <c r="D17" s="6" t="s">
        <v>37</v>
      </c>
    </row>
    <row r="18" spans="1:30">
      <c r="A18" s="8" t="s">
        <v>24</v>
      </c>
      <c r="B18" s="83" t="s">
        <v>2</v>
      </c>
      <c r="C18" s="86">
        <v>210000</v>
      </c>
      <c r="D18" s="6" t="s">
        <v>37</v>
      </c>
    </row>
    <row r="19" spans="1:30">
      <c r="A19" s="22" t="s">
        <v>96</v>
      </c>
      <c r="B19" s="83" t="s">
        <v>11</v>
      </c>
      <c r="C19" s="86">
        <v>81000</v>
      </c>
      <c r="D19" s="6" t="s">
        <v>37</v>
      </c>
    </row>
    <row r="20" spans="1:30">
      <c r="A20" s="22" t="s">
        <v>97</v>
      </c>
      <c r="B20" s="83" t="s">
        <v>98</v>
      </c>
      <c r="C20" s="86">
        <v>0.3</v>
      </c>
    </row>
    <row r="21" spans="1:30">
      <c r="A21" s="81" t="s">
        <v>278</v>
      </c>
      <c r="B21" s="59"/>
      <c r="D21" s="12"/>
      <c r="E21" s="9"/>
      <c r="F21" s="12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30">
      <c r="A22" s="22" t="s">
        <v>108</v>
      </c>
      <c r="B22" s="83" t="s">
        <v>109</v>
      </c>
      <c r="C22" s="83">
        <f>P36</f>
        <v>5.2</v>
      </c>
      <c r="D22" s="13" t="s">
        <v>30</v>
      </c>
      <c r="E22" s="9"/>
      <c r="F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30">
      <c r="A23" s="22" t="s">
        <v>107</v>
      </c>
      <c r="B23" s="83" t="s">
        <v>110</v>
      </c>
      <c r="C23" s="83">
        <f>C22</f>
        <v>5.2</v>
      </c>
      <c r="D23" s="13" t="s">
        <v>30</v>
      </c>
      <c r="E23" s="9"/>
      <c r="F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30">
      <c r="A24" s="22" t="s">
        <v>104</v>
      </c>
      <c r="B24" s="83" t="s">
        <v>103</v>
      </c>
      <c r="C24" s="83">
        <f>P37</f>
        <v>2.6</v>
      </c>
      <c r="D24" s="13" t="s">
        <v>30</v>
      </c>
      <c r="E24" s="9"/>
      <c r="F24" s="9"/>
    </row>
    <row r="25" spans="1:30">
      <c r="A25" s="22" t="s">
        <v>105</v>
      </c>
      <c r="B25" s="83" t="s">
        <v>106</v>
      </c>
      <c r="C25" s="83">
        <f>C24</f>
        <v>2.6</v>
      </c>
      <c r="D25" s="13" t="s">
        <v>30</v>
      </c>
      <c r="E25" s="9"/>
      <c r="F25" s="9"/>
      <c r="Y25" s="17" t="s">
        <v>272</v>
      </c>
      <c r="Z25" s="17" t="s">
        <v>273</v>
      </c>
      <c r="AA25" s="17" t="s">
        <v>274</v>
      </c>
      <c r="AB25" s="17" t="s">
        <v>275</v>
      </c>
      <c r="AC25" s="17"/>
    </row>
    <row r="26" spans="1:30">
      <c r="A26" s="22" t="s">
        <v>35</v>
      </c>
      <c r="B26" s="85" t="s">
        <v>279</v>
      </c>
      <c r="C26" s="85">
        <v>1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30">
      <c r="A27" s="22" t="s">
        <v>280</v>
      </c>
      <c r="B27" s="85" t="s">
        <v>63</v>
      </c>
      <c r="C27" s="84" t="s">
        <v>99</v>
      </c>
      <c r="D27" s="85">
        <v>6</v>
      </c>
      <c r="E27" s="6" t="s">
        <v>100</v>
      </c>
      <c r="F27" s="6">
        <f>D27*PI()/180</f>
        <v>0.10471975511965977</v>
      </c>
      <c r="G27" s="6" t="s">
        <v>33</v>
      </c>
      <c r="J27" s="51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30">
      <c r="A28" s="8"/>
      <c r="C28" s="85" t="s">
        <v>64</v>
      </c>
      <c r="D28" s="52">
        <f>SIN(ATAN(P39/100))</f>
        <v>9.9503719020998929E-2</v>
      </c>
      <c r="E28" s="6" t="s">
        <v>66</v>
      </c>
      <c r="F28" s="52">
        <f>COS(ATAN(P39/100))</f>
        <v>0.99503719020998915</v>
      </c>
      <c r="J28" s="51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30">
      <c r="A29" s="81" t="s">
        <v>101</v>
      </c>
      <c r="B29" s="59" t="s">
        <v>357</v>
      </c>
      <c r="D29" s="12"/>
      <c r="E29" s="9"/>
      <c r="F29" s="12"/>
      <c r="Y29" s="17">
        <f>2*Y31-2*$AC$31</f>
        <v>234</v>
      </c>
      <c r="Z29" s="17">
        <f>2*Z31-2*$AC$31</f>
        <v>94</v>
      </c>
      <c r="AA29" s="17">
        <f>2*AA31-2*$AC$31</f>
        <v>94</v>
      </c>
      <c r="AB29" s="17">
        <f>2*2*AB31</f>
        <v>80</v>
      </c>
      <c r="AC29" s="17"/>
    </row>
    <row r="30" spans="1:30">
      <c r="A30" s="22" t="s">
        <v>113</v>
      </c>
      <c r="B30" s="83" t="s">
        <v>114</v>
      </c>
      <c r="C30" s="83">
        <f>Q31</f>
        <v>50</v>
      </c>
      <c r="D30" s="13" t="s">
        <v>31</v>
      </c>
      <c r="E30" s="9"/>
      <c r="F30" s="9"/>
    </row>
    <row r="31" spans="1:30">
      <c r="A31" s="22" t="s">
        <v>115</v>
      </c>
      <c r="B31" s="83" t="s">
        <v>116</v>
      </c>
      <c r="C31" s="83">
        <f>R31</f>
        <v>50</v>
      </c>
      <c r="D31" s="13" t="s">
        <v>31</v>
      </c>
      <c r="E31" s="9"/>
      <c r="F31" s="9"/>
      <c r="P31" s="20">
        <v>120</v>
      </c>
      <c r="Q31" s="20">
        <v>50</v>
      </c>
      <c r="R31" s="20">
        <v>50</v>
      </c>
      <c r="S31" s="20">
        <v>20</v>
      </c>
      <c r="T31" s="20">
        <v>3</v>
      </c>
      <c r="U31" s="17" t="s">
        <v>31</v>
      </c>
      <c r="W31" s="17" t="s">
        <v>300</v>
      </c>
      <c r="X31" s="17" t="s">
        <v>133</v>
      </c>
      <c r="Y31" s="17">
        <f>P31</f>
        <v>120</v>
      </c>
      <c r="Z31" s="17">
        <f t="shared" ref="Z31:AC31" si="0">Q31</f>
        <v>50</v>
      </c>
      <c r="AA31" s="17">
        <f t="shared" si="0"/>
        <v>50</v>
      </c>
      <c r="AB31" s="17">
        <f t="shared" si="0"/>
        <v>20</v>
      </c>
      <c r="AC31" s="17">
        <f t="shared" si="0"/>
        <v>3</v>
      </c>
      <c r="AD31" s="9" t="s">
        <v>31</v>
      </c>
    </row>
    <row r="32" spans="1:30">
      <c r="A32" s="22" t="s">
        <v>117</v>
      </c>
      <c r="B32" s="83" t="s">
        <v>299</v>
      </c>
      <c r="C32" s="83">
        <f>P31</f>
        <v>120</v>
      </c>
      <c r="D32" s="13" t="s">
        <v>31</v>
      </c>
      <c r="E32" s="9"/>
      <c r="F32" s="9"/>
      <c r="P32" s="20">
        <f>P31/10</f>
        <v>12</v>
      </c>
      <c r="Q32" s="20">
        <f>(Q31-T31)/10</f>
        <v>4.7</v>
      </c>
      <c r="R32" s="20">
        <f>(R31-T31)/10</f>
        <v>4.7</v>
      </c>
      <c r="S32" s="20">
        <f>(S31-T31)/10</f>
        <v>1.7</v>
      </c>
      <c r="T32" s="20">
        <f>T31/10</f>
        <v>0.3</v>
      </c>
      <c r="U32" s="17" t="s">
        <v>32</v>
      </c>
      <c r="V32" s="17" t="s">
        <v>26</v>
      </c>
      <c r="W32" s="17">
        <f>Sheet1!D7</f>
        <v>744</v>
      </c>
      <c r="AD32" s="9" t="s">
        <v>82</v>
      </c>
    </row>
    <row r="33" spans="1:30">
      <c r="A33" s="22" t="s">
        <v>118</v>
      </c>
      <c r="B33" s="83" t="s">
        <v>119</v>
      </c>
      <c r="C33" s="83">
        <f>T31</f>
        <v>3</v>
      </c>
      <c r="D33" s="13" t="s">
        <v>31</v>
      </c>
      <c r="E33" s="9"/>
      <c r="F33" s="9"/>
      <c r="P33" s="20">
        <f>W32/100</f>
        <v>7.44</v>
      </c>
      <c r="Q33" s="20" t="s">
        <v>26</v>
      </c>
      <c r="R33" s="18" t="s">
        <v>25</v>
      </c>
      <c r="V33" s="17" t="s">
        <v>83</v>
      </c>
      <c r="W33" s="17">
        <f>Sheet1!D8</f>
        <v>5.8403999999999998</v>
      </c>
      <c r="AD33" s="9" t="s">
        <v>84</v>
      </c>
    </row>
    <row r="34" spans="1:30" ht="15.6">
      <c r="A34" s="22" t="s">
        <v>120</v>
      </c>
      <c r="B34" s="83" t="s">
        <v>121</v>
      </c>
      <c r="C34" s="83">
        <f>S31</f>
        <v>20</v>
      </c>
      <c r="D34" s="13" t="s">
        <v>31</v>
      </c>
      <c r="E34" s="9"/>
      <c r="F34" s="9"/>
      <c r="P34" s="21">
        <f>W36</f>
        <v>27.327866666666665</v>
      </c>
      <c r="Q34" s="20" t="s">
        <v>27</v>
      </c>
      <c r="R34" s="19" t="s">
        <v>29</v>
      </c>
      <c r="V34" s="17" t="s">
        <v>85</v>
      </c>
      <c r="W34" s="17">
        <f>Sheet1!D9</f>
        <v>163.96720000000002</v>
      </c>
      <c r="AD34" s="9" t="s">
        <v>86</v>
      </c>
    </row>
    <row r="35" spans="1:30">
      <c r="A35" s="22" t="s">
        <v>122</v>
      </c>
      <c r="B35" s="83" t="s">
        <v>123</v>
      </c>
      <c r="C35" s="83">
        <v>0</v>
      </c>
      <c r="D35" s="13" t="s">
        <v>31</v>
      </c>
      <c r="E35" s="9"/>
      <c r="F35" s="9"/>
      <c r="P35" s="20">
        <f>W37</f>
        <v>8.1421702970297041</v>
      </c>
      <c r="Q35" s="20" t="s">
        <v>28</v>
      </c>
      <c r="R35" s="19" t="s">
        <v>29</v>
      </c>
      <c r="V35" s="17" t="s">
        <v>87</v>
      </c>
      <c r="W35" s="17">
        <f>Sheet1!D10</f>
        <v>26.52771612903226</v>
      </c>
      <c r="AD35" s="9" t="s">
        <v>86</v>
      </c>
    </row>
    <row r="36" spans="1:30">
      <c r="A36" s="8" t="s">
        <v>22</v>
      </c>
      <c r="B36" s="83" t="s">
        <v>355</v>
      </c>
      <c r="C36" s="87">
        <f>P33</f>
        <v>7.44</v>
      </c>
      <c r="D36" s="6" t="s">
        <v>25</v>
      </c>
      <c r="E36" s="9"/>
      <c r="F36" s="9"/>
      <c r="P36" s="232">
        <v>5.2</v>
      </c>
      <c r="Q36" s="20" t="s">
        <v>111</v>
      </c>
      <c r="R36" s="17" t="s">
        <v>30</v>
      </c>
      <c r="V36" s="17" t="s">
        <v>88</v>
      </c>
      <c r="W36" s="17">
        <f>Sheet1!D11</f>
        <v>27.327866666666665</v>
      </c>
      <c r="AD36" s="9" t="s">
        <v>29</v>
      </c>
    </row>
    <row r="37" spans="1:30">
      <c r="A37" s="22" t="s">
        <v>269</v>
      </c>
      <c r="B37" s="83" t="s">
        <v>270</v>
      </c>
      <c r="C37" s="87">
        <f>W40</f>
        <v>502</v>
      </c>
      <c r="D37" s="6" t="s">
        <v>31</v>
      </c>
      <c r="E37" s="9"/>
      <c r="F37" s="9"/>
      <c r="P37" s="232">
        <f>P36/2</f>
        <v>2.6</v>
      </c>
      <c r="Q37" s="20" t="s">
        <v>112</v>
      </c>
      <c r="R37" s="17" t="s">
        <v>30</v>
      </c>
      <c r="V37" s="17" t="s">
        <v>89</v>
      </c>
      <c r="W37" s="17">
        <f>Sheet1!D12</f>
        <v>8.1421702970297041</v>
      </c>
      <c r="AD37" s="9" t="s">
        <v>29</v>
      </c>
    </row>
    <row r="38" spans="1:30">
      <c r="A38" s="22" t="s">
        <v>282</v>
      </c>
      <c r="B38" s="85" t="s">
        <v>277</v>
      </c>
      <c r="C38" s="161">
        <f>P34</f>
        <v>27.327866666666665</v>
      </c>
      <c r="D38" s="9" t="s">
        <v>29</v>
      </c>
      <c r="E38" s="9"/>
      <c r="P38" s="232">
        <v>1.2</v>
      </c>
      <c r="Q38" s="20" t="s">
        <v>34</v>
      </c>
      <c r="R38" s="17" t="s">
        <v>30</v>
      </c>
      <c r="V38" s="17" t="s">
        <v>90</v>
      </c>
      <c r="W38" s="17">
        <f>Sheet1!D13</f>
        <v>46.945289593885384</v>
      </c>
      <c r="AD38" s="9" t="s">
        <v>31</v>
      </c>
    </row>
    <row r="39" spans="1:30">
      <c r="A39" s="22" t="s">
        <v>281</v>
      </c>
      <c r="B39" s="85" t="s">
        <v>276</v>
      </c>
      <c r="C39" s="161">
        <f>P35</f>
        <v>8.1421702970297041</v>
      </c>
      <c r="D39" s="9" t="s">
        <v>29</v>
      </c>
      <c r="E39" s="9"/>
      <c r="P39" s="49">
        <v>10</v>
      </c>
      <c r="Q39" s="17" t="s">
        <v>65</v>
      </c>
      <c r="V39" s="17" t="s">
        <v>91</v>
      </c>
      <c r="W39" s="17">
        <f>Sheet1!D14</f>
        <v>18.882672594602433</v>
      </c>
      <c r="AD39" s="9" t="s">
        <v>31</v>
      </c>
    </row>
    <row r="40" spans="1:30">
      <c r="A40" s="22" t="s">
        <v>283</v>
      </c>
      <c r="B40" s="85" t="s">
        <v>285</v>
      </c>
      <c r="C40" s="161">
        <f>W34</f>
        <v>163.96720000000002</v>
      </c>
      <c r="D40" s="9" t="s">
        <v>86</v>
      </c>
      <c r="E40" s="9"/>
      <c r="P40" s="49">
        <f>W33</f>
        <v>5.8403999999999998</v>
      </c>
      <c r="Q40" s="17" t="s">
        <v>52</v>
      </c>
      <c r="V40" s="176" t="s">
        <v>271</v>
      </c>
      <c r="W40" s="176">
        <f>SUM(Y29:AB29)</f>
        <v>502</v>
      </c>
    </row>
    <row r="41" spans="1:30">
      <c r="A41" s="22" t="s">
        <v>284</v>
      </c>
      <c r="B41" s="85" t="s">
        <v>286</v>
      </c>
      <c r="C41" s="161">
        <f>W35</f>
        <v>26.52771612903226</v>
      </c>
      <c r="D41" s="9" t="s">
        <v>86</v>
      </c>
      <c r="E41" s="9"/>
      <c r="P41" s="49">
        <v>39</v>
      </c>
      <c r="Q41" s="17" t="s">
        <v>51</v>
      </c>
    </row>
    <row r="42" spans="1:30">
      <c r="A42" s="22" t="s">
        <v>287</v>
      </c>
      <c r="B42" s="85" t="s">
        <v>245</v>
      </c>
      <c r="C42" s="161">
        <f>W38</f>
        <v>46.945289593885384</v>
      </c>
      <c r="D42" s="9" t="s">
        <v>31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30">
      <c r="A43" s="22" t="s">
        <v>288</v>
      </c>
      <c r="B43" s="85" t="s">
        <v>247</v>
      </c>
      <c r="C43" s="161">
        <f>W39</f>
        <v>18.882672594602433</v>
      </c>
      <c r="D43" s="9" t="s">
        <v>31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30" ht="26.25" customHeight="1">
      <c r="A44" s="165" t="s">
        <v>289</v>
      </c>
      <c r="B44" s="162"/>
      <c r="C44" s="162"/>
    </row>
    <row r="45" spans="1:30" ht="24.75" customHeight="1">
      <c r="A45" s="14"/>
      <c r="D45" s="23">
        <f>0.85*SQRT(235/C15)</f>
        <v>0.69649633369971364</v>
      </c>
      <c r="E45" s="9"/>
    </row>
    <row r="46" spans="1:30">
      <c r="A46" s="31"/>
      <c r="B46" s="233"/>
      <c r="C46" s="35" t="s">
        <v>3</v>
      </c>
      <c r="D46" s="35" t="s">
        <v>4</v>
      </c>
      <c r="E46" s="9"/>
      <c r="F46" s="9"/>
      <c r="G46" s="9"/>
      <c r="H46" s="9"/>
    </row>
    <row r="47" spans="1:30">
      <c r="A47" s="34" t="s">
        <v>38</v>
      </c>
      <c r="B47" s="38" t="s">
        <v>5</v>
      </c>
      <c r="C47" s="37">
        <f>$P$31-2*$T$31</f>
        <v>114</v>
      </c>
      <c r="D47" s="37">
        <f>$T$31</f>
        <v>3</v>
      </c>
      <c r="E47" s="9"/>
      <c r="F47" s="9"/>
      <c r="G47" s="9"/>
      <c r="H47" s="9"/>
    </row>
    <row r="48" spans="1:30">
      <c r="A48" s="34" t="s">
        <v>39</v>
      </c>
      <c r="B48" s="38" t="s">
        <v>6</v>
      </c>
      <c r="C48" s="37">
        <f>$Q$31-$T$31</f>
        <v>47</v>
      </c>
      <c r="D48" s="37">
        <f>D47</f>
        <v>3</v>
      </c>
      <c r="E48" s="9"/>
      <c r="F48" s="9"/>
      <c r="G48" s="9"/>
      <c r="H48" s="9"/>
    </row>
    <row r="49" spans="1:28" ht="15.6">
      <c r="A49" s="25"/>
      <c r="B49" s="9"/>
      <c r="C49" s="9"/>
      <c r="D49" s="9"/>
      <c r="E49" s="9"/>
      <c r="F49" s="9"/>
      <c r="G49" s="9"/>
      <c r="H49" s="9"/>
    </row>
    <row r="50" spans="1:28" ht="15.75" customHeight="1">
      <c r="A50" s="31"/>
      <c r="B50" s="32"/>
      <c r="C50" s="33"/>
      <c r="D50" s="33"/>
      <c r="E50" s="34" t="s">
        <v>43</v>
      </c>
      <c r="F50" s="34"/>
      <c r="G50" s="34"/>
      <c r="H50" s="32"/>
    </row>
    <row r="51" spans="1:28" s="186" customFormat="1" ht="28.2" customHeight="1">
      <c r="A51" s="178"/>
      <c r="B51" s="179" t="s">
        <v>40</v>
      </c>
      <c r="C51" s="180" t="s">
        <v>41</v>
      </c>
      <c r="D51" s="180" t="s">
        <v>42</v>
      </c>
      <c r="E51" s="181" t="s">
        <v>7</v>
      </c>
      <c r="F51" s="181" t="s">
        <v>8</v>
      </c>
      <c r="G51" s="181" t="s">
        <v>9</v>
      </c>
      <c r="H51" s="179" t="s">
        <v>44</v>
      </c>
      <c r="I51" s="182"/>
      <c r="J51" s="182"/>
      <c r="K51" s="182"/>
      <c r="L51" s="182"/>
      <c r="M51" s="182"/>
      <c r="N51" s="182"/>
      <c r="O51" s="183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5"/>
    </row>
    <row r="52" spans="1:28">
      <c r="A52" s="34" t="s">
        <v>38</v>
      </c>
      <c r="B52" s="164">
        <f>C47/D47</f>
        <v>38</v>
      </c>
      <c r="C52" s="35">
        <v>0.5</v>
      </c>
      <c r="D52" s="35">
        <v>-1</v>
      </c>
      <c r="E52" s="36">
        <v>50.51</v>
      </c>
      <c r="F52" s="36">
        <v>58.23</v>
      </c>
      <c r="G52" s="36">
        <v>86.99</v>
      </c>
      <c r="H52" s="36" t="s">
        <v>10</v>
      </c>
    </row>
    <row r="53" spans="1:28">
      <c r="A53" s="34" t="s">
        <v>39</v>
      </c>
      <c r="B53" s="35">
        <f>C48/D48</f>
        <v>15.666666666666666</v>
      </c>
      <c r="C53" s="35">
        <v>1</v>
      </c>
      <c r="D53" s="35">
        <v>1</v>
      </c>
      <c r="E53" s="36">
        <v>6.31</v>
      </c>
      <c r="F53" s="36">
        <v>7.02</v>
      </c>
      <c r="G53" s="36">
        <v>9.82</v>
      </c>
      <c r="H53" s="36" t="s">
        <v>10</v>
      </c>
    </row>
    <row r="54" spans="1:28">
      <c r="A54" s="39" t="s">
        <v>61</v>
      </c>
      <c r="B54"/>
      <c r="C54"/>
      <c r="D54"/>
      <c r="E54"/>
      <c r="F54"/>
      <c r="G54"/>
      <c r="H54"/>
    </row>
    <row r="55" spans="1:28" ht="16.8">
      <c r="A55" s="26"/>
      <c r="B55"/>
      <c r="C55"/>
      <c r="D55"/>
      <c r="E55"/>
      <c r="F55"/>
      <c r="G55"/>
      <c r="H55"/>
    </row>
    <row r="56" spans="1:28" s="46" customFormat="1">
      <c r="A56" s="166" t="s">
        <v>45</v>
      </c>
      <c r="B56" s="45"/>
      <c r="C56" s="45"/>
      <c r="I56" s="47"/>
      <c r="J56" s="47"/>
      <c r="K56" s="47"/>
      <c r="L56" s="47"/>
      <c r="M56" s="47"/>
      <c r="N56" s="47"/>
      <c r="O56" s="48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50"/>
    </row>
    <row r="57" spans="1:28">
      <c r="A57" s="27" t="s">
        <v>46</v>
      </c>
      <c r="B57" s="3"/>
      <c r="C57" s="3"/>
      <c r="D57" s="9"/>
      <c r="E57" s="9"/>
      <c r="F57" s="9"/>
      <c r="G57" s="9"/>
      <c r="H57" s="9"/>
    </row>
    <row r="58" spans="1:28">
      <c r="A58" s="15" t="s">
        <v>47</v>
      </c>
      <c r="B58" s="9"/>
      <c r="C58" s="8" t="s">
        <v>11</v>
      </c>
      <c r="D58" s="8">
        <f>P40/100</f>
        <v>5.8403999999999998E-2</v>
      </c>
      <c r="E58" s="9" t="s">
        <v>49</v>
      </c>
      <c r="F58" s="9"/>
      <c r="G58" s="9"/>
      <c r="H58" s="9"/>
    </row>
    <row r="59" spans="1:28">
      <c r="A59" s="53" t="s">
        <v>362</v>
      </c>
      <c r="B59" s="9"/>
      <c r="C59" s="8" t="s">
        <v>363</v>
      </c>
      <c r="D59" s="8">
        <v>0.15</v>
      </c>
      <c r="E59" s="9" t="s">
        <v>50</v>
      </c>
      <c r="F59" s="9"/>
      <c r="G59" s="9"/>
      <c r="H59" s="9"/>
    </row>
    <row r="60" spans="1:28">
      <c r="A60" s="53" t="s">
        <v>290</v>
      </c>
      <c r="B60" s="9"/>
      <c r="C60" s="8" t="s">
        <v>12</v>
      </c>
      <c r="D60" s="8">
        <f>P41/100</f>
        <v>0.39</v>
      </c>
      <c r="E60" s="9" t="s">
        <v>50</v>
      </c>
      <c r="F60" s="9"/>
      <c r="G60" s="9"/>
      <c r="H60" s="9"/>
    </row>
    <row r="61" spans="1:28">
      <c r="A61" s="15" t="s">
        <v>48</v>
      </c>
      <c r="B61" s="9"/>
      <c r="C61" s="8" t="s">
        <v>13</v>
      </c>
      <c r="D61" s="11">
        <v>3.12</v>
      </c>
      <c r="E61" s="9" t="s">
        <v>50</v>
      </c>
      <c r="F61" s="9"/>
      <c r="G61" s="9"/>
      <c r="H61" s="9"/>
    </row>
    <row r="62" spans="1:28" s="2" customFormat="1">
      <c r="A62" s="234" t="s">
        <v>53</v>
      </c>
      <c r="B62" s="235"/>
      <c r="C62" s="235"/>
      <c r="D62" s="235"/>
      <c r="E62" s="235"/>
      <c r="F62" s="236"/>
      <c r="G62" s="40"/>
      <c r="H62" s="41"/>
      <c r="I62" s="41"/>
      <c r="J62" s="41"/>
      <c r="K62" s="41"/>
      <c r="L62" s="41"/>
      <c r="M62" s="41"/>
      <c r="N62" s="41"/>
      <c r="O62" s="42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8"/>
    </row>
    <row r="63" spans="1:28" s="2" customFormat="1">
      <c r="A63" s="60" t="s">
        <v>293</v>
      </c>
      <c r="B63" s="61"/>
      <c r="C63" s="75" t="s">
        <v>54</v>
      </c>
      <c r="D63" s="76"/>
      <c r="E63" s="76"/>
      <c r="F63" s="77"/>
      <c r="G63" s="40"/>
      <c r="H63" s="41"/>
      <c r="I63" s="41"/>
      <c r="J63" s="41"/>
      <c r="K63" s="41"/>
      <c r="L63" s="41"/>
      <c r="M63" s="41"/>
      <c r="N63" s="41"/>
      <c r="O63" s="42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8"/>
    </row>
    <row r="64" spans="1:28" s="2" customFormat="1">
      <c r="A64" s="62" t="s">
        <v>55</v>
      </c>
      <c r="B64" s="63"/>
      <c r="C64" s="62" t="s">
        <v>55</v>
      </c>
      <c r="D64" s="29"/>
      <c r="E64" s="29"/>
      <c r="F64" s="78"/>
      <c r="G64" s="29"/>
      <c r="H64" s="41"/>
      <c r="I64" s="41"/>
      <c r="J64" s="41"/>
      <c r="K64" s="41"/>
      <c r="L64" s="41"/>
      <c r="M64" s="41"/>
      <c r="N64" s="41"/>
      <c r="O64" s="42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8"/>
    </row>
    <row r="65" spans="1:28" s="2" customFormat="1">
      <c r="A65" s="64" t="s">
        <v>62</v>
      </c>
      <c r="B65" s="65">
        <v>1.35</v>
      </c>
      <c r="C65" s="64" t="s">
        <v>56</v>
      </c>
      <c r="D65" s="43">
        <v>1.2</v>
      </c>
      <c r="F65" s="78"/>
      <c r="G65" s="29"/>
      <c r="H65" s="41"/>
      <c r="I65" s="41"/>
      <c r="J65" s="41"/>
      <c r="K65" s="41"/>
      <c r="L65" s="41"/>
      <c r="M65" s="41"/>
      <c r="N65" s="41"/>
      <c r="O65" s="42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8"/>
    </row>
    <row r="66" spans="1:28" s="2" customFormat="1">
      <c r="A66" s="66"/>
      <c r="B66" s="63"/>
      <c r="C66" s="64" t="s">
        <v>57</v>
      </c>
      <c r="D66" s="43">
        <v>1.2</v>
      </c>
      <c r="F66" s="78"/>
      <c r="G66" s="29"/>
      <c r="H66" s="41"/>
      <c r="I66" s="41"/>
      <c r="J66" s="41"/>
      <c r="K66" s="41"/>
      <c r="L66" s="41"/>
      <c r="M66" s="41"/>
      <c r="N66" s="41"/>
      <c r="O66" s="42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8"/>
    </row>
    <row r="67" spans="1:28" s="2" customFormat="1">
      <c r="A67" s="67" t="s">
        <v>67</v>
      </c>
      <c r="B67" s="68">
        <f>(D58+D60+D59)*B65</f>
        <v>0.80784540000000016</v>
      </c>
      <c r="C67" s="71"/>
      <c r="D67" s="29"/>
      <c r="E67" s="29"/>
      <c r="F67" s="78"/>
      <c r="G67" s="29"/>
      <c r="H67" s="41"/>
      <c r="I67" s="41"/>
      <c r="J67" s="41"/>
      <c r="K67" s="41"/>
      <c r="L67" s="41"/>
      <c r="M67" s="41"/>
      <c r="N67" s="41"/>
      <c r="O67" s="42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8"/>
    </row>
    <row r="68" spans="1:28" s="2" customFormat="1">
      <c r="A68" s="67" t="s">
        <v>291</v>
      </c>
      <c r="B68" s="68">
        <f>B67*D28</f>
        <v>8.0383621694006507E-2</v>
      </c>
      <c r="C68" s="67" t="s">
        <v>291</v>
      </c>
      <c r="D68" s="170">
        <f>((D58+D59)*D65+D61*D66)*D28</f>
        <v>0.39742629168524268</v>
      </c>
      <c r="E68" s="29"/>
      <c r="F68" s="78"/>
      <c r="G68" s="29"/>
      <c r="H68" s="41"/>
      <c r="I68" s="41"/>
      <c r="J68" s="41"/>
      <c r="K68" s="41"/>
      <c r="L68" s="41"/>
      <c r="M68" s="41"/>
      <c r="N68" s="41"/>
      <c r="O68" s="42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8"/>
    </row>
    <row r="69" spans="1:28" s="2" customFormat="1">
      <c r="A69" s="67" t="s">
        <v>68</v>
      </c>
      <c r="B69" s="68">
        <f>B67*F28</f>
        <v>0.80383621694006491</v>
      </c>
      <c r="C69" s="67" t="s">
        <v>68</v>
      </c>
      <c r="D69" s="170">
        <f>(D65*(D58+D59)+D66*D61)*F28</f>
        <v>3.9742629168524259</v>
      </c>
      <c r="E69" s="54" t="s">
        <v>58</v>
      </c>
      <c r="F69" s="79">
        <v>0</v>
      </c>
      <c r="G69" s="29"/>
      <c r="H69" s="41"/>
      <c r="I69" s="41"/>
      <c r="J69" s="41"/>
      <c r="K69" s="41"/>
      <c r="L69" s="41"/>
      <c r="M69" s="41"/>
      <c r="N69" s="41"/>
      <c r="O69" s="42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8"/>
    </row>
    <row r="70" spans="1:28" s="2" customFormat="1">
      <c r="A70" s="67"/>
      <c r="B70" s="63"/>
      <c r="C70" s="67"/>
      <c r="D70" s="44"/>
      <c r="E70" s="40"/>
      <c r="F70" s="79"/>
      <c r="G70" s="30"/>
      <c r="H70" s="41"/>
      <c r="I70" s="41"/>
      <c r="J70" s="41"/>
      <c r="K70" s="41"/>
      <c r="L70" s="41"/>
      <c r="M70" s="41"/>
      <c r="N70" s="41"/>
      <c r="O70" s="42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8"/>
    </row>
    <row r="71" spans="1:28" s="2" customFormat="1">
      <c r="A71" s="62" t="s">
        <v>59</v>
      </c>
      <c r="B71" s="63"/>
      <c r="C71" s="62" t="s">
        <v>59</v>
      </c>
      <c r="D71" s="29"/>
      <c r="E71" s="29"/>
      <c r="F71" s="78"/>
      <c r="G71" s="29"/>
      <c r="H71" s="41"/>
      <c r="I71" s="41"/>
      <c r="J71" s="41"/>
      <c r="K71" s="41"/>
      <c r="L71" s="41"/>
      <c r="M71" s="41"/>
      <c r="N71" s="41"/>
      <c r="O71" s="42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8"/>
    </row>
    <row r="72" spans="1:28" s="2" customFormat="1" ht="15.6">
      <c r="A72" s="69" t="s">
        <v>69</v>
      </c>
      <c r="B72" s="63"/>
      <c r="C72" s="69" t="s">
        <v>69</v>
      </c>
      <c r="D72" s="55"/>
      <c r="E72" s="40"/>
      <c r="F72" s="78"/>
      <c r="G72" s="29"/>
      <c r="H72" s="41"/>
      <c r="I72" s="41"/>
      <c r="J72" s="41"/>
      <c r="K72" s="41"/>
      <c r="L72" s="41"/>
      <c r="M72" s="41"/>
      <c r="N72" s="41"/>
      <c r="O72" s="42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8"/>
    </row>
    <row r="73" spans="1:28" s="2" customFormat="1">
      <c r="A73" s="67" t="s">
        <v>292</v>
      </c>
      <c r="B73" s="167">
        <f>B69*P36^2/10</f>
        <v>2.1735731306059356</v>
      </c>
      <c r="C73" s="67" t="s">
        <v>292</v>
      </c>
      <c r="D73" s="169">
        <f>D69*P36^2/10</f>
        <v>10.746406927168961</v>
      </c>
      <c r="E73" s="40"/>
      <c r="F73" s="78"/>
      <c r="G73" s="29"/>
      <c r="H73" s="41"/>
      <c r="I73" s="41"/>
      <c r="J73" s="41"/>
      <c r="K73" s="41"/>
      <c r="L73" s="41"/>
      <c r="M73" s="41"/>
      <c r="N73" s="41"/>
      <c r="O73" s="42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8"/>
    </row>
    <row r="74" spans="1:28" s="2" customFormat="1">
      <c r="A74" s="67" t="s">
        <v>70</v>
      </c>
      <c r="B74" s="167">
        <f>B68*P37^2/10</f>
        <v>5.4339328265148402E-2</v>
      </c>
      <c r="C74" s="67" t="s">
        <v>70</v>
      </c>
      <c r="D74" s="169">
        <f>D68*P37^2/10</f>
        <v>0.26866017317922408</v>
      </c>
      <c r="E74" s="1"/>
      <c r="F74" s="78"/>
      <c r="G74" s="29"/>
      <c r="H74" s="41"/>
      <c r="I74" s="41"/>
      <c r="J74" s="41"/>
      <c r="K74" s="41"/>
      <c r="L74" s="41"/>
      <c r="M74" s="41"/>
      <c r="N74" s="41"/>
      <c r="O74" s="42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8"/>
    </row>
    <row r="75" spans="1:28" s="2" customFormat="1" ht="15.6">
      <c r="A75" s="70" t="s">
        <v>71</v>
      </c>
      <c r="B75" s="65">
        <v>0.75</v>
      </c>
      <c r="C75" s="70" t="s">
        <v>71</v>
      </c>
      <c r="D75" s="41">
        <v>0.75</v>
      </c>
      <c r="E75" s="40"/>
      <c r="F75" s="78"/>
      <c r="G75" s="29"/>
      <c r="H75" s="41"/>
      <c r="I75" s="41"/>
      <c r="J75" s="41"/>
      <c r="K75" s="41"/>
      <c r="L75" s="41"/>
      <c r="M75" s="41"/>
      <c r="N75" s="41"/>
      <c r="O75" s="42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8"/>
    </row>
    <row r="76" spans="1:28" s="2" customFormat="1">
      <c r="A76" s="67" t="s">
        <v>295</v>
      </c>
      <c r="B76" s="167">
        <f>B73*B75</f>
        <v>1.6301798479544516</v>
      </c>
      <c r="C76" s="67" t="s">
        <v>294</v>
      </c>
      <c r="D76" s="169">
        <f>D73*D75</f>
        <v>8.05980519537672</v>
      </c>
      <c r="E76" s="40"/>
      <c r="F76" s="78"/>
      <c r="G76" s="29"/>
      <c r="H76" s="41"/>
      <c r="I76" s="41"/>
      <c r="J76" s="41"/>
      <c r="K76" s="41"/>
      <c r="L76" s="41"/>
      <c r="M76" s="41"/>
      <c r="N76" s="41"/>
      <c r="O76" s="42"/>
      <c r="P76" s="17">
        <f>B76*100</f>
        <v>163.01798479544516</v>
      </c>
      <c r="Q76" s="17">
        <f>D76*100</f>
        <v>805.98051953767197</v>
      </c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8"/>
    </row>
    <row r="77" spans="1:28" s="2" customFormat="1">
      <c r="A77" s="67" t="s">
        <v>296</v>
      </c>
      <c r="B77" s="167">
        <f>B74*B75</f>
        <v>4.0754496198861304E-2</v>
      </c>
      <c r="C77" s="67" t="s">
        <v>72</v>
      </c>
      <c r="D77" s="169">
        <f>D74*D75</f>
        <v>0.20149512988441806</v>
      </c>
      <c r="E77" s="40"/>
      <c r="F77" s="78"/>
      <c r="G77" s="29"/>
      <c r="H77" s="41"/>
      <c r="I77" s="41"/>
      <c r="J77" s="41"/>
      <c r="K77" s="41"/>
      <c r="L77" s="41"/>
      <c r="M77" s="41"/>
      <c r="N77" s="41"/>
      <c r="O77" s="42"/>
      <c r="P77" s="17">
        <f>B77*100</f>
        <v>4.0754496198861307</v>
      </c>
      <c r="Q77" s="17">
        <f>D77*100</f>
        <v>20.149512988441806</v>
      </c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8"/>
    </row>
    <row r="78" spans="1:28" s="2" customFormat="1">
      <c r="A78" s="71"/>
      <c r="B78" s="65"/>
      <c r="C78" s="67"/>
      <c r="D78" s="29"/>
      <c r="E78" s="40"/>
      <c r="F78" s="78"/>
      <c r="G78" s="29"/>
      <c r="H78" s="41"/>
      <c r="I78" s="41"/>
      <c r="J78" s="41"/>
      <c r="K78" s="41"/>
      <c r="L78" s="41"/>
      <c r="M78" s="41"/>
      <c r="N78" s="41"/>
      <c r="O78" s="42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8"/>
    </row>
    <row r="79" spans="1:28" s="2" customFormat="1" ht="15" customHeight="1">
      <c r="A79" s="62" t="s">
        <v>60</v>
      </c>
      <c r="B79" s="65"/>
      <c r="C79" s="62" t="s">
        <v>60</v>
      </c>
      <c r="D79" s="28"/>
      <c r="E79" s="29"/>
      <c r="F79" s="78"/>
      <c r="G79" s="29"/>
      <c r="H79" s="41"/>
      <c r="I79" s="41"/>
      <c r="J79" s="41"/>
      <c r="K79" s="41"/>
      <c r="L79" s="41"/>
      <c r="M79" s="41"/>
      <c r="N79" s="41"/>
      <c r="O79" s="42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8"/>
    </row>
    <row r="80" spans="1:28" s="2" customFormat="1" ht="44.25" customHeight="1">
      <c r="A80" s="72"/>
      <c r="B80" s="65"/>
      <c r="C80" s="72"/>
      <c r="D80" s="41"/>
      <c r="E80" s="41"/>
      <c r="F80" s="65"/>
      <c r="G80" s="41"/>
      <c r="H80" s="41"/>
      <c r="I80" s="41"/>
      <c r="J80" s="41"/>
      <c r="K80" s="41"/>
      <c r="L80" s="41"/>
      <c r="M80" s="41"/>
      <c r="N80" s="41"/>
      <c r="O80" s="42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8"/>
    </row>
    <row r="81" spans="1:17" ht="21" customHeight="1">
      <c r="A81" s="72" t="s">
        <v>297</v>
      </c>
      <c r="B81" s="167">
        <f>P34</f>
        <v>27.327866666666665</v>
      </c>
      <c r="C81" s="72" t="s">
        <v>297</v>
      </c>
      <c r="D81" s="169">
        <f>B81</f>
        <v>27.327866666666665</v>
      </c>
      <c r="E81" s="41"/>
      <c r="F81" s="65"/>
    </row>
    <row r="82" spans="1:17">
      <c r="A82" s="72" t="s">
        <v>79</v>
      </c>
      <c r="B82" s="167">
        <f>P35</f>
        <v>8.1421702970297041</v>
      </c>
      <c r="C82" s="72" t="s">
        <v>79</v>
      </c>
      <c r="D82" s="169">
        <f>B82</f>
        <v>8.1421702970297041</v>
      </c>
      <c r="E82" s="41"/>
      <c r="F82" s="65"/>
    </row>
    <row r="83" spans="1:17">
      <c r="A83" s="72"/>
      <c r="B83" s="68">
        <f>B76*100/(B81*C15/B65)+B77*100/(B82*C15/B65)</f>
        <v>2.4939520844891372E-2</v>
      </c>
      <c r="C83" s="72"/>
      <c r="D83" s="168">
        <f>D76*100/(D81*C15/D66)+D77*100/(D82*C15/D66)</f>
        <v>0.10960354666965705</v>
      </c>
      <c r="E83" s="41"/>
      <c r="F83" s="65"/>
      <c r="P83" s="171"/>
    </row>
    <row r="84" spans="1:17">
      <c r="A84" s="62" t="s">
        <v>73</v>
      </c>
      <c r="B84" s="65"/>
      <c r="C84" s="62" t="s">
        <v>73</v>
      </c>
      <c r="D84" s="41"/>
      <c r="E84" s="41"/>
      <c r="F84" s="65"/>
      <c r="P84" s="17">
        <f>(1/P85)-1</f>
        <v>1678352.6882068466</v>
      </c>
      <c r="Q84" s="17">
        <f>(1/Q85)-1</f>
        <v>5349.089510685284</v>
      </c>
    </row>
    <row r="85" spans="1:17" ht="36" customHeight="1">
      <c r="A85" s="72"/>
      <c r="B85" s="65"/>
      <c r="C85" s="72"/>
      <c r="D85" s="41"/>
      <c r="E85" s="41"/>
      <c r="F85" s="65"/>
      <c r="P85" s="172">
        <f>B83^3.883</f>
        <v>5.9582196948510905E-7</v>
      </c>
      <c r="Q85" s="172">
        <f>D83^3.883</f>
        <v>1.8691276061882404E-4</v>
      </c>
    </row>
    <row r="86" spans="1:17" ht="21.75" customHeight="1">
      <c r="A86" s="73"/>
      <c r="B86" s="173">
        <f>P87</f>
        <v>1043.7229412086012</v>
      </c>
      <c r="C86" s="73"/>
      <c r="D86" s="174">
        <f>Q87</f>
        <v>818.43367349073708</v>
      </c>
      <c r="E86" s="80"/>
      <c r="F86" s="74"/>
      <c r="P86" s="17">
        <f>LN(P84)</f>
        <v>14.333323327598912</v>
      </c>
      <c r="Q86" s="17">
        <f>LN(Q84)</f>
        <v>8.5846816404883164</v>
      </c>
    </row>
    <row r="87" spans="1:17">
      <c r="A87" s="56" t="s">
        <v>74</v>
      </c>
      <c r="P87" s="17">
        <f>39.19*P86+482</f>
        <v>1043.7229412086012</v>
      </c>
      <c r="Q87" s="17">
        <f>39.19*Q86+482</f>
        <v>818.43367349073708</v>
      </c>
    </row>
    <row r="88" spans="1:17">
      <c r="A88" s="4" t="s">
        <v>75</v>
      </c>
    </row>
    <row r="89" spans="1:17" ht="15.6">
      <c r="A89" s="57" t="s">
        <v>76</v>
      </c>
      <c r="B89" s="175">
        <f>D86</f>
        <v>818.43367349073708</v>
      </c>
      <c r="C89" s="9" t="s">
        <v>36</v>
      </c>
    </row>
    <row r="90" spans="1:17">
      <c r="A90" s="24" t="s">
        <v>298</v>
      </c>
    </row>
    <row r="91" spans="1:17">
      <c r="A91" s="58" t="s">
        <v>77</v>
      </c>
      <c r="B91" s="201">
        <v>13.5</v>
      </c>
      <c r="C91" s="6" t="s">
        <v>80</v>
      </c>
    </row>
    <row r="92" spans="1:17">
      <c r="A92" s="194" t="s">
        <v>320</v>
      </c>
      <c r="B92" s="195"/>
      <c r="C92" s="195"/>
      <c r="D92" s="195"/>
      <c r="E92" s="195"/>
      <c r="F92" s="195"/>
      <c r="G92" s="195"/>
    </row>
    <row r="93" spans="1:17" ht="16.2">
      <c r="A93" s="202" t="s">
        <v>301</v>
      </c>
      <c r="B93" s="203" t="s">
        <v>327</v>
      </c>
      <c r="C93" s="191">
        <f>D83</f>
        <v>0.10960354666965705</v>
      </c>
      <c r="D93" s="195"/>
      <c r="E93" s="188" t="s">
        <v>331</v>
      </c>
      <c r="F93" s="188" t="s">
        <v>332</v>
      </c>
      <c r="G93" s="195"/>
    </row>
    <row r="94" spans="1:17">
      <c r="A94" s="200" t="s">
        <v>302</v>
      </c>
      <c r="B94" s="195"/>
      <c r="C94" s="193" t="s">
        <v>321</v>
      </c>
      <c r="D94" s="195"/>
      <c r="E94" s="197">
        <f>C37/1000/(C36/100^2)</f>
        <v>674.73118279569883</v>
      </c>
      <c r="F94" s="197">
        <f>D99*E94</f>
        <v>674.73118279569883</v>
      </c>
      <c r="G94" s="195"/>
    </row>
    <row r="95" spans="1:17" ht="16.8">
      <c r="A95" s="200" t="s">
        <v>303</v>
      </c>
      <c r="B95" s="204" t="s">
        <v>330</v>
      </c>
      <c r="C95" s="210">
        <f>B89</f>
        <v>818.43367349073708</v>
      </c>
      <c r="D95" s="195" t="s">
        <v>329</v>
      </c>
      <c r="E95" s="195" t="s">
        <v>328</v>
      </c>
      <c r="F95" s="195"/>
      <c r="G95" s="195"/>
    </row>
    <row r="96" spans="1:17">
      <c r="A96" s="200" t="s">
        <v>304</v>
      </c>
      <c r="B96" s="195"/>
      <c r="C96" s="195"/>
      <c r="D96" s="195"/>
      <c r="E96" s="195"/>
      <c r="F96" s="195"/>
      <c r="G96" s="195"/>
    </row>
    <row r="97" spans="1:16" ht="18">
      <c r="A97" s="205" t="s">
        <v>305</v>
      </c>
      <c r="B97" s="195"/>
      <c r="C97" s="195"/>
      <c r="D97" s="195">
        <f>ROUND(D99*(E94)/(D108*D109)*D111*D98*60,0)</f>
        <v>806</v>
      </c>
      <c r="E97" s="221" t="s">
        <v>345</v>
      </c>
      <c r="F97" s="195"/>
      <c r="G97" s="195"/>
    </row>
    <row r="98" spans="1:16" ht="18">
      <c r="A98" s="206" t="s">
        <v>306</v>
      </c>
      <c r="B98" s="195"/>
      <c r="C98" s="195"/>
      <c r="D98" s="199">
        <v>10034.354467431405</v>
      </c>
      <c r="E98" s="221" t="s">
        <v>346</v>
      </c>
      <c r="F98" s="195"/>
      <c r="G98" s="195"/>
    </row>
    <row r="99" spans="1:16" ht="16.2">
      <c r="A99" s="200" t="s">
        <v>307</v>
      </c>
      <c r="B99" s="195"/>
      <c r="C99" s="207" t="s">
        <v>333</v>
      </c>
      <c r="D99" s="192">
        <v>1</v>
      </c>
      <c r="E99" s="220"/>
      <c r="F99" s="195"/>
      <c r="G99" s="195"/>
    </row>
    <row r="100" spans="1:16" ht="18">
      <c r="A100" s="200" t="s">
        <v>308</v>
      </c>
      <c r="B100" s="195"/>
      <c r="C100" s="208" t="s">
        <v>334</v>
      </c>
      <c r="D100" s="192">
        <v>25</v>
      </c>
      <c r="E100" s="221" t="s">
        <v>347</v>
      </c>
      <c r="F100" s="195"/>
      <c r="G100" s="223" t="s">
        <v>351</v>
      </c>
    </row>
    <row r="101" spans="1:16" ht="18">
      <c r="A101" s="200" t="s">
        <v>309</v>
      </c>
      <c r="B101" s="195"/>
      <c r="C101" s="209" t="s">
        <v>335</v>
      </c>
      <c r="D101" s="192">
        <v>645.45500000000004</v>
      </c>
      <c r="E101" s="221" t="s">
        <v>345</v>
      </c>
      <c r="F101" s="195"/>
      <c r="G101" s="223" t="s">
        <v>351</v>
      </c>
    </row>
    <row r="102" spans="1:16" ht="18">
      <c r="A102" s="200" t="s">
        <v>310</v>
      </c>
      <c r="B102" s="195"/>
      <c r="C102" s="211" t="s">
        <v>336</v>
      </c>
      <c r="D102" s="192">
        <v>550</v>
      </c>
      <c r="E102" s="221" t="s">
        <v>345</v>
      </c>
      <c r="F102" s="195"/>
      <c r="G102" s="223" t="s">
        <v>352</v>
      </c>
    </row>
    <row r="103" spans="1:16">
      <c r="A103" s="200" t="s">
        <v>311</v>
      </c>
      <c r="B103" s="195"/>
      <c r="C103" s="212" t="s">
        <v>337</v>
      </c>
      <c r="D103" s="192">
        <v>1</v>
      </c>
      <c r="E103" s="220"/>
      <c r="F103" s="195"/>
      <c r="G103" s="223" t="s">
        <v>352</v>
      </c>
    </row>
    <row r="104" spans="1:16" ht="16.2">
      <c r="A104" s="200" t="s">
        <v>356</v>
      </c>
      <c r="B104" s="195"/>
      <c r="C104" s="213" t="s">
        <v>338</v>
      </c>
      <c r="D104" s="192">
        <v>0.7</v>
      </c>
      <c r="E104" s="220"/>
      <c r="F104" s="195"/>
      <c r="G104" s="223" t="s">
        <v>353</v>
      </c>
    </row>
    <row r="105" spans="1:16" ht="16.2">
      <c r="A105" s="200" t="s">
        <v>312</v>
      </c>
      <c r="B105" s="195"/>
      <c r="C105" s="214" t="s">
        <v>339</v>
      </c>
      <c r="D105" s="192">
        <v>1</v>
      </c>
      <c r="E105" s="220"/>
      <c r="F105" s="195"/>
      <c r="G105" s="223" t="s">
        <v>353</v>
      </c>
    </row>
    <row r="106" spans="1:16" ht="17.399999999999999">
      <c r="A106" s="200" t="s">
        <v>313</v>
      </c>
      <c r="B106" s="195"/>
      <c r="C106" s="215" t="s">
        <v>340</v>
      </c>
      <c r="D106" s="196">
        <v>5.6699999999999998E-8</v>
      </c>
      <c r="E106" s="221" t="s">
        <v>348</v>
      </c>
      <c r="F106" s="195"/>
      <c r="G106" s="223" t="s">
        <v>354</v>
      </c>
    </row>
    <row r="107" spans="1:16" ht="18">
      <c r="A107" s="200" t="s">
        <v>314</v>
      </c>
      <c r="B107" s="195"/>
      <c r="C107" s="216" t="s">
        <v>341</v>
      </c>
      <c r="D107" s="192">
        <v>645.45500000000004</v>
      </c>
      <c r="E107" s="221" t="s">
        <v>345</v>
      </c>
      <c r="F107" s="195"/>
      <c r="G107" s="223" t="s">
        <v>352</v>
      </c>
      <c r="P107" s="198"/>
    </row>
    <row r="108" spans="1:16" ht="18">
      <c r="A108" s="200" t="s">
        <v>315</v>
      </c>
      <c r="B108" s="195"/>
      <c r="C108" s="217" t="s">
        <v>342</v>
      </c>
      <c r="D108" s="192">
        <v>866.49699999999996</v>
      </c>
      <c r="E108" s="221" t="s">
        <v>349</v>
      </c>
      <c r="F108" s="195"/>
      <c r="G108" s="223" t="s">
        <v>352</v>
      </c>
      <c r="P108" s="198"/>
    </row>
    <row r="109" spans="1:16" ht="18">
      <c r="A109" s="200" t="s">
        <v>316</v>
      </c>
      <c r="B109" s="195"/>
      <c r="C109" s="218" t="s">
        <v>343</v>
      </c>
      <c r="D109" s="192">
        <v>7850</v>
      </c>
      <c r="E109" s="221" t="s">
        <v>350</v>
      </c>
      <c r="F109" s="195"/>
      <c r="G109" s="195"/>
      <c r="P109" s="198"/>
    </row>
    <row r="110" spans="1:16">
      <c r="A110" s="200" t="s">
        <v>317</v>
      </c>
      <c r="B110" s="195"/>
      <c r="C110" s="219" t="s">
        <v>344</v>
      </c>
      <c r="D110" s="195"/>
      <c r="E110" s="195"/>
      <c r="F110" s="195"/>
      <c r="G110" s="195"/>
    </row>
    <row r="111" spans="1:16">
      <c r="A111" s="200" t="s">
        <v>318</v>
      </c>
      <c r="B111" s="195"/>
      <c r="C111" s="195" t="s">
        <v>119</v>
      </c>
      <c r="D111" s="190">
        <f>B91</f>
        <v>13.5</v>
      </c>
      <c r="E111" s="222" t="s">
        <v>322</v>
      </c>
      <c r="F111" s="195"/>
      <c r="G111" s="195"/>
    </row>
    <row r="112" spans="1:16" ht="16.2">
      <c r="A112" s="200" t="s">
        <v>319</v>
      </c>
      <c r="B112" s="224" t="s">
        <v>323</v>
      </c>
      <c r="C112" s="189">
        <f>C95</f>
        <v>818.43367349073708</v>
      </c>
      <c r="D112" s="197" t="s">
        <v>324</v>
      </c>
      <c r="E112" s="225" t="s">
        <v>325</v>
      </c>
      <c r="F112" s="197">
        <f>D97</f>
        <v>806</v>
      </c>
      <c r="G112" s="187" t="s">
        <v>326</v>
      </c>
    </row>
    <row r="113" spans="1:1">
      <c r="A113" s="58"/>
    </row>
    <row r="114" spans="1:1">
      <c r="A114" s="24" t="s">
        <v>78</v>
      </c>
    </row>
    <row r="133" spans="1:8">
      <c r="A133" s="3"/>
      <c r="B133"/>
      <c r="C133"/>
      <c r="D133"/>
      <c r="E133"/>
      <c r="F133"/>
      <c r="G133"/>
      <c r="H133"/>
    </row>
  </sheetData>
  <mergeCells count="1">
    <mergeCell ref="A62:F6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rowBreaks count="1" manualBreakCount="1">
    <brk id="61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W134"/>
  <sheetViews>
    <sheetView topLeftCell="A2" workbookViewId="0">
      <selection activeCell="D8" sqref="D8"/>
    </sheetView>
  </sheetViews>
  <sheetFormatPr defaultRowHeight="14.4"/>
  <cols>
    <col min="1" max="1" width="6.44140625" customWidth="1"/>
    <col min="2" max="2" width="12" customWidth="1"/>
    <col min="3" max="3" width="6" bestFit="1" customWidth="1"/>
    <col min="4" max="4" width="22.6640625" customWidth="1"/>
    <col min="5" max="5" width="6.109375" bestFit="1" customWidth="1"/>
    <col min="6" max="6" width="7.109375" bestFit="1" customWidth="1"/>
    <col min="7" max="7" width="10.6640625" bestFit="1" customWidth="1"/>
    <col min="8" max="8" width="9.44140625" bestFit="1" customWidth="1"/>
    <col min="9" max="9" width="16" customWidth="1"/>
    <col min="10" max="10" width="12.88671875" bestFit="1" customWidth="1"/>
    <col min="11" max="11" width="5.5546875" bestFit="1" customWidth="1"/>
    <col min="12" max="12" width="12.88671875" bestFit="1" customWidth="1"/>
    <col min="13" max="13" width="4.6640625" bestFit="1" customWidth="1"/>
  </cols>
  <sheetData>
    <row r="6" spans="3:23" ht="19.8">
      <c r="C6" s="88"/>
      <c r="D6" s="159" t="str">
        <f>CONCATENATE(E6, ,F6)</f>
        <v>C120</v>
      </c>
      <c r="E6" s="160" t="str">
        <f>W6</f>
        <v>C</v>
      </c>
      <c r="F6" s="160">
        <f>'C'!Y31</f>
        <v>120</v>
      </c>
      <c r="G6" s="160">
        <f>'C'!Z31</f>
        <v>50</v>
      </c>
      <c r="H6" s="160">
        <f>'C'!AA31</f>
        <v>50</v>
      </c>
      <c r="I6" s="160">
        <f>'C'!AB31</f>
        <v>20</v>
      </c>
      <c r="J6" s="160">
        <f>'C'!AC31</f>
        <v>3</v>
      </c>
      <c r="K6" s="88" t="str">
        <f>K63</f>
        <v>mm</v>
      </c>
      <c r="W6" s="177" t="s">
        <v>133</v>
      </c>
    </row>
    <row r="7" spans="3:23" ht="16.2">
      <c r="C7" s="89" t="s">
        <v>26</v>
      </c>
      <c r="D7" s="89">
        <f>J6*(F6+2*I6+(G6-2*J6)+(H6-2*J6))</f>
        <v>744</v>
      </c>
      <c r="E7" s="90"/>
      <c r="F7" s="90"/>
      <c r="G7" s="90"/>
      <c r="H7" s="90"/>
      <c r="I7" s="90"/>
      <c r="J7" s="90"/>
      <c r="K7" s="89" t="s">
        <v>124</v>
      </c>
    </row>
    <row r="8" spans="3:23">
      <c r="C8" s="89" t="s">
        <v>83</v>
      </c>
      <c r="D8" s="89">
        <f>D7*7850/1000/1000</f>
        <v>5.8403999999999998</v>
      </c>
      <c r="E8" s="90"/>
      <c r="F8" s="90"/>
      <c r="G8" s="90"/>
      <c r="H8" s="90"/>
      <c r="I8" s="90"/>
      <c r="J8" s="90"/>
      <c r="K8" s="89" t="s">
        <v>84</v>
      </c>
    </row>
    <row r="9" spans="3:23" ht="16.2">
      <c r="C9" s="89" t="s">
        <v>85</v>
      </c>
      <c r="D9" s="89">
        <f>IF($W$6="Z",L89,L45)</f>
        <v>163.96720000000002</v>
      </c>
      <c r="E9" s="90"/>
      <c r="F9" s="90"/>
      <c r="G9" s="90"/>
      <c r="H9" s="90"/>
      <c r="I9" s="90"/>
      <c r="J9" s="90"/>
      <c r="K9" s="89" t="s">
        <v>125</v>
      </c>
    </row>
    <row r="10" spans="3:23" ht="16.2">
      <c r="C10" s="89" t="s">
        <v>87</v>
      </c>
      <c r="D10" s="89">
        <f>IF($W$6="Z",L95,L51)</f>
        <v>26.52771612903226</v>
      </c>
      <c r="E10" s="90"/>
      <c r="F10" s="90"/>
      <c r="G10" s="90"/>
      <c r="H10" s="90"/>
      <c r="I10" s="90"/>
      <c r="J10" s="90"/>
      <c r="K10" s="89" t="s">
        <v>125</v>
      </c>
    </row>
    <row r="11" spans="3:23" ht="16.2">
      <c r="C11" s="89" t="s">
        <v>88</v>
      </c>
      <c r="D11" s="89">
        <f>IF($W$6="Z",L96,L52)</f>
        <v>27.327866666666665</v>
      </c>
      <c r="E11" s="90"/>
      <c r="F11" s="90"/>
      <c r="G11" s="90"/>
      <c r="H11" s="90"/>
      <c r="I11" s="90"/>
      <c r="J11" s="90"/>
      <c r="K11" s="89" t="s">
        <v>126</v>
      </c>
    </row>
    <row r="12" spans="3:23" ht="16.2">
      <c r="C12" s="89" t="s">
        <v>89</v>
      </c>
      <c r="D12" s="89">
        <f>IF($W$6="Z",L97,L53)</f>
        <v>8.1421702970297041</v>
      </c>
      <c r="E12" s="90"/>
      <c r="F12" s="90"/>
      <c r="G12" s="90"/>
      <c r="H12" s="90"/>
      <c r="I12" s="90"/>
      <c r="J12" s="90"/>
      <c r="K12" s="89" t="s">
        <v>126</v>
      </c>
    </row>
    <row r="13" spans="3:23">
      <c r="C13" s="89" t="s">
        <v>90</v>
      </c>
      <c r="D13" s="89">
        <f>IF($W$6="Z",J98,J54)</f>
        <v>46.945289593885384</v>
      </c>
      <c r="E13" s="90"/>
      <c r="F13" s="90"/>
      <c r="G13" s="90"/>
      <c r="H13" s="90"/>
      <c r="I13" s="90"/>
      <c r="J13" s="90"/>
      <c r="K13" s="89" t="s">
        <v>31</v>
      </c>
    </row>
    <row r="14" spans="3:23">
      <c r="C14" s="91" t="s">
        <v>91</v>
      </c>
      <c r="D14" s="89">
        <f>IF($W$6="Z",L98,L54)</f>
        <v>18.882672594602433</v>
      </c>
      <c r="E14" s="92"/>
      <c r="F14" s="92"/>
      <c r="G14" s="92"/>
      <c r="H14" s="92"/>
      <c r="I14" s="92"/>
      <c r="J14" s="92"/>
      <c r="K14" s="91" t="s">
        <v>31</v>
      </c>
    </row>
    <row r="16" spans="3:23" ht="15" thickBot="1"/>
    <row r="17" spans="2:13">
      <c r="B17" s="93"/>
      <c r="C17" s="94"/>
      <c r="D17" s="94"/>
      <c r="E17" s="94"/>
      <c r="F17" s="94"/>
      <c r="G17" s="95" t="s">
        <v>127</v>
      </c>
      <c r="H17" s="95" t="s">
        <v>128</v>
      </c>
      <c r="I17" s="94"/>
      <c r="J17" s="96"/>
      <c r="K17" s="96"/>
      <c r="L17" s="94"/>
      <c r="M17" s="97"/>
    </row>
    <row r="18" spans="2:13">
      <c r="B18" s="98"/>
      <c r="C18" s="90"/>
      <c r="D18" s="90"/>
      <c r="E18" s="41"/>
      <c r="F18" s="41" t="s">
        <v>129</v>
      </c>
      <c r="G18" s="41" t="s">
        <v>130</v>
      </c>
      <c r="H18" s="99" t="s">
        <v>131</v>
      </c>
      <c r="I18" s="99" t="s">
        <v>132</v>
      </c>
      <c r="J18" s="99" t="s">
        <v>4</v>
      </c>
      <c r="K18" s="41"/>
      <c r="L18" s="100"/>
      <c r="M18" s="101"/>
    </row>
    <row r="19" spans="2:13" ht="15.6">
      <c r="B19" s="98"/>
      <c r="C19" s="90"/>
      <c r="D19" s="102" t="str">
        <f>CONCATENATE(E19, ,F19)</f>
        <v>C120</v>
      </c>
      <c r="E19" s="103" t="s">
        <v>133</v>
      </c>
      <c r="F19" s="103">
        <f>F6</f>
        <v>120</v>
      </c>
      <c r="G19" s="103">
        <f t="shared" ref="G19:J19" si="0">G6</f>
        <v>50</v>
      </c>
      <c r="H19" s="103">
        <f t="shared" si="0"/>
        <v>50</v>
      </c>
      <c r="I19" s="103">
        <f t="shared" si="0"/>
        <v>20</v>
      </c>
      <c r="J19" s="103">
        <f t="shared" si="0"/>
        <v>3</v>
      </c>
      <c r="K19" s="99" t="s">
        <v>31</v>
      </c>
      <c r="L19" s="100"/>
      <c r="M19" s="101"/>
    </row>
    <row r="20" spans="2:13">
      <c r="B20" s="104" t="s">
        <v>134</v>
      </c>
      <c r="C20" s="105" t="s">
        <v>135</v>
      </c>
      <c r="D20" s="106" t="s">
        <v>136</v>
      </c>
      <c r="E20" s="90"/>
      <c r="F20" s="90"/>
      <c r="G20" s="41"/>
      <c r="H20" s="41"/>
      <c r="I20" s="65"/>
      <c r="J20" s="41">
        <f>F19*J19</f>
        <v>360</v>
      </c>
      <c r="K20" s="99" t="s">
        <v>82</v>
      </c>
      <c r="L20" s="100">
        <f>J20/100</f>
        <v>3.6</v>
      </c>
      <c r="M20" s="107" t="s">
        <v>25</v>
      </c>
    </row>
    <row r="21" spans="2:13">
      <c r="B21" s="108" t="s">
        <v>137</v>
      </c>
      <c r="C21" s="72" t="s">
        <v>138</v>
      </c>
      <c r="D21" s="106" t="s">
        <v>139</v>
      </c>
      <c r="E21" s="90"/>
      <c r="F21" s="90"/>
      <c r="G21" s="41"/>
      <c r="H21" s="41"/>
      <c r="I21" s="65"/>
      <c r="J21" s="41">
        <f>(G19-2*J19)*J19</f>
        <v>132</v>
      </c>
      <c r="K21" s="99" t="s">
        <v>82</v>
      </c>
      <c r="L21" s="100">
        <f t="shared" ref="L21:L24" si="1">J21/100</f>
        <v>1.32</v>
      </c>
      <c r="M21" s="107" t="s">
        <v>25</v>
      </c>
    </row>
    <row r="22" spans="2:13">
      <c r="B22" s="108" t="s">
        <v>140</v>
      </c>
      <c r="C22" s="72" t="s">
        <v>141</v>
      </c>
      <c r="D22" s="106" t="s">
        <v>142</v>
      </c>
      <c r="E22" s="41"/>
      <c r="F22" s="41"/>
      <c r="G22" s="41"/>
      <c r="H22" s="41"/>
      <c r="I22" s="65"/>
      <c r="J22" s="41">
        <f>I19*J19</f>
        <v>60</v>
      </c>
      <c r="K22" s="99" t="s">
        <v>82</v>
      </c>
      <c r="L22" s="100">
        <f t="shared" si="1"/>
        <v>0.6</v>
      </c>
      <c r="M22" s="107" t="s">
        <v>25</v>
      </c>
    </row>
    <row r="23" spans="2:13">
      <c r="B23" s="108" t="s">
        <v>143</v>
      </c>
      <c r="C23" s="72" t="s">
        <v>144</v>
      </c>
      <c r="D23" s="106" t="s">
        <v>145</v>
      </c>
      <c r="E23" s="41"/>
      <c r="F23" s="41"/>
      <c r="G23" s="41"/>
      <c r="H23" s="41"/>
      <c r="I23" s="65"/>
      <c r="J23" s="41">
        <f>(H19-2*J19)*J19</f>
        <v>132</v>
      </c>
      <c r="K23" s="99" t="s">
        <v>82</v>
      </c>
      <c r="L23" s="100">
        <f t="shared" si="1"/>
        <v>1.32</v>
      </c>
      <c r="M23" s="107" t="s">
        <v>25</v>
      </c>
    </row>
    <row r="24" spans="2:13">
      <c r="B24" s="108" t="s">
        <v>146</v>
      </c>
      <c r="C24" s="72" t="s">
        <v>147</v>
      </c>
      <c r="D24" s="106" t="s">
        <v>142</v>
      </c>
      <c r="E24" s="41"/>
      <c r="F24" s="41"/>
      <c r="G24" s="41"/>
      <c r="H24" s="41"/>
      <c r="I24" s="65"/>
      <c r="J24" s="41">
        <f>I19*J19</f>
        <v>60</v>
      </c>
      <c r="K24" s="99" t="s">
        <v>82</v>
      </c>
      <c r="L24" s="100">
        <f t="shared" si="1"/>
        <v>0.6</v>
      </c>
      <c r="M24" s="107" t="s">
        <v>25</v>
      </c>
    </row>
    <row r="25" spans="2:13" ht="15.6">
      <c r="B25" s="109" t="s">
        <v>148</v>
      </c>
      <c r="C25" s="110" t="s">
        <v>149</v>
      </c>
      <c r="D25" s="111"/>
      <c r="E25" s="111"/>
      <c r="F25" s="111"/>
      <c r="G25" s="111"/>
      <c r="H25" s="111"/>
      <c r="I25" s="112"/>
      <c r="J25" s="113">
        <f>SUM(J20:J24)</f>
        <v>744</v>
      </c>
      <c r="K25" s="113" t="s">
        <v>82</v>
      </c>
      <c r="L25" s="114">
        <f>SUM(L20:L24)</f>
        <v>7.4399999999999995</v>
      </c>
      <c r="M25" s="115" t="s">
        <v>25</v>
      </c>
    </row>
    <row r="26" spans="2:13" ht="15" customHeight="1">
      <c r="B26" s="104" t="s">
        <v>150</v>
      </c>
      <c r="C26" s="116" t="s">
        <v>151</v>
      </c>
      <c r="D26" s="117" t="s">
        <v>152</v>
      </c>
      <c r="E26" s="117" t="s">
        <v>153</v>
      </c>
      <c r="F26" s="117" t="s">
        <v>154</v>
      </c>
      <c r="G26" s="117"/>
      <c r="H26" s="117"/>
      <c r="I26" s="237" t="s">
        <v>155</v>
      </c>
      <c r="J26" s="41">
        <f>J20*F19/2</f>
        <v>21600</v>
      </c>
      <c r="K26" s="99" t="s">
        <v>156</v>
      </c>
      <c r="L26" s="90"/>
      <c r="M26" s="118"/>
    </row>
    <row r="27" spans="2:13">
      <c r="B27" s="108" t="s">
        <v>157</v>
      </c>
      <c r="C27" s="119" t="s">
        <v>158</v>
      </c>
      <c r="D27" s="99" t="s">
        <v>159</v>
      </c>
      <c r="E27" s="99" t="s">
        <v>160</v>
      </c>
      <c r="F27" s="99" t="s">
        <v>161</v>
      </c>
      <c r="G27" s="99"/>
      <c r="H27" s="99"/>
      <c r="I27" s="238"/>
      <c r="J27" s="41">
        <f>J21*(F19-J19/2)</f>
        <v>15642</v>
      </c>
      <c r="K27" s="99" t="s">
        <v>156</v>
      </c>
      <c r="L27" s="90"/>
      <c r="M27" s="118"/>
    </row>
    <row r="28" spans="2:13">
      <c r="B28" s="108" t="s">
        <v>162</v>
      </c>
      <c r="C28" s="119" t="s">
        <v>163</v>
      </c>
      <c r="D28" s="99" t="s">
        <v>164</v>
      </c>
      <c r="E28" s="99" t="s">
        <v>165</v>
      </c>
      <c r="F28" s="99" t="s">
        <v>166</v>
      </c>
      <c r="G28" s="99"/>
      <c r="H28" s="99"/>
      <c r="I28" s="238"/>
      <c r="J28" s="41">
        <f>J22*(F19-I19/2)</f>
        <v>6600</v>
      </c>
      <c r="K28" s="99" t="s">
        <v>156</v>
      </c>
      <c r="L28" s="90"/>
      <c r="M28" s="118"/>
    </row>
    <row r="29" spans="2:13">
      <c r="B29" s="108" t="s">
        <v>167</v>
      </c>
      <c r="C29" s="119" t="s">
        <v>168</v>
      </c>
      <c r="D29" s="99" t="s">
        <v>169</v>
      </c>
      <c r="E29" s="99" t="s">
        <v>170</v>
      </c>
      <c r="F29" s="99" t="s">
        <v>171</v>
      </c>
      <c r="G29" s="99"/>
      <c r="H29" s="99"/>
      <c r="I29" s="238"/>
      <c r="J29" s="41">
        <f>J23*J19/2</f>
        <v>198</v>
      </c>
      <c r="K29" s="99" t="s">
        <v>156</v>
      </c>
      <c r="L29" s="90"/>
      <c r="M29" s="118"/>
    </row>
    <row r="30" spans="2:13">
      <c r="B30" s="108" t="s">
        <v>172</v>
      </c>
      <c r="C30" s="119" t="s">
        <v>173</v>
      </c>
      <c r="D30" s="99" t="s">
        <v>174</v>
      </c>
      <c r="E30" s="99" t="s">
        <v>175</v>
      </c>
      <c r="F30" s="99" t="s">
        <v>176</v>
      </c>
      <c r="G30" s="99"/>
      <c r="H30" s="99"/>
      <c r="I30" s="239"/>
      <c r="J30" s="41">
        <f>J24*I19/2</f>
        <v>600</v>
      </c>
      <c r="K30" s="99" t="s">
        <v>156</v>
      </c>
      <c r="L30" s="90"/>
      <c r="M30" s="118"/>
    </row>
    <row r="31" spans="2:13" ht="15.6">
      <c r="B31" s="109" t="s">
        <v>177</v>
      </c>
      <c r="C31" s="120" t="s">
        <v>178</v>
      </c>
      <c r="D31" s="121" t="s">
        <v>179</v>
      </c>
      <c r="E31" s="111"/>
      <c r="F31" s="111"/>
      <c r="G31" s="111"/>
      <c r="H31" s="111"/>
      <c r="I31" s="112"/>
      <c r="J31" s="113">
        <f>SUM(J26:J30)</f>
        <v>44640</v>
      </c>
      <c r="K31" s="113" t="s">
        <v>156</v>
      </c>
      <c r="L31" s="90"/>
      <c r="M31" s="118"/>
    </row>
    <row r="32" spans="2:13" ht="15" customHeight="1">
      <c r="B32" s="104" t="s">
        <v>150</v>
      </c>
      <c r="C32" s="116" t="s">
        <v>180</v>
      </c>
      <c r="D32" s="117" t="s">
        <v>181</v>
      </c>
      <c r="E32" s="117" t="s">
        <v>182</v>
      </c>
      <c r="F32" s="117" t="s">
        <v>171</v>
      </c>
      <c r="G32" s="117"/>
      <c r="H32" s="117"/>
      <c r="I32" s="237" t="s">
        <v>183</v>
      </c>
      <c r="J32" s="41">
        <f>J20*J19/2</f>
        <v>540</v>
      </c>
      <c r="K32" s="99" t="s">
        <v>156</v>
      </c>
      <c r="L32" s="90"/>
      <c r="M32" s="118"/>
    </row>
    <row r="33" spans="2:13">
      <c r="B33" s="108" t="s">
        <v>157</v>
      </c>
      <c r="C33" s="119" t="s">
        <v>184</v>
      </c>
      <c r="D33" s="99" t="s">
        <v>185</v>
      </c>
      <c r="E33" s="99" t="s">
        <v>186</v>
      </c>
      <c r="F33" s="99" t="s">
        <v>187</v>
      </c>
      <c r="G33" s="99"/>
      <c r="H33" s="122"/>
      <c r="I33" s="238"/>
      <c r="J33" s="41">
        <f>J21*G19/2</f>
        <v>3300</v>
      </c>
      <c r="K33" s="99" t="s">
        <v>156</v>
      </c>
      <c r="L33" s="90"/>
      <c r="M33" s="118"/>
    </row>
    <row r="34" spans="2:13">
      <c r="B34" s="108" t="s">
        <v>162</v>
      </c>
      <c r="C34" s="119" t="s">
        <v>188</v>
      </c>
      <c r="D34" s="99" t="s">
        <v>189</v>
      </c>
      <c r="E34" s="99" t="s">
        <v>190</v>
      </c>
      <c r="F34" s="99" t="s">
        <v>191</v>
      </c>
      <c r="G34" s="99"/>
      <c r="H34" s="122"/>
      <c r="I34" s="238"/>
      <c r="J34" s="41">
        <f>J22*(G19-J19/2)</f>
        <v>2910</v>
      </c>
      <c r="K34" s="99" t="s">
        <v>156</v>
      </c>
      <c r="L34" s="90"/>
      <c r="M34" s="118"/>
    </row>
    <row r="35" spans="2:13">
      <c r="B35" s="108" t="s">
        <v>167</v>
      </c>
      <c r="C35" s="119" t="s">
        <v>192</v>
      </c>
      <c r="D35" s="99" t="s">
        <v>193</v>
      </c>
      <c r="E35" s="99" t="s">
        <v>194</v>
      </c>
      <c r="F35" s="99" t="s">
        <v>195</v>
      </c>
      <c r="G35" s="99"/>
      <c r="H35" s="99"/>
      <c r="I35" s="238"/>
      <c r="J35" s="41">
        <f>J23*H19/2</f>
        <v>3300</v>
      </c>
      <c r="K35" s="99" t="s">
        <v>156</v>
      </c>
      <c r="L35" s="90"/>
      <c r="M35" s="118"/>
    </row>
    <row r="36" spans="2:13">
      <c r="B36" s="108" t="s">
        <v>172</v>
      </c>
      <c r="C36" s="119" t="s">
        <v>196</v>
      </c>
      <c r="D36" s="99" t="s">
        <v>197</v>
      </c>
      <c r="E36" s="99" t="s">
        <v>198</v>
      </c>
      <c r="F36" s="99" t="s">
        <v>199</v>
      </c>
      <c r="G36" s="99"/>
      <c r="H36" s="99"/>
      <c r="I36" s="239"/>
      <c r="J36" s="41">
        <f>J24*(H19-J19/2)</f>
        <v>2910</v>
      </c>
      <c r="K36" s="99" t="s">
        <v>156</v>
      </c>
      <c r="L36" s="90"/>
      <c r="M36" s="118"/>
    </row>
    <row r="37" spans="2:13" ht="15.6">
      <c r="B37" s="109" t="s">
        <v>177</v>
      </c>
      <c r="C37" s="120" t="s">
        <v>200</v>
      </c>
      <c r="D37" s="121" t="s">
        <v>201</v>
      </c>
      <c r="E37" s="111"/>
      <c r="F37" s="111"/>
      <c r="G37" s="111"/>
      <c r="H37" s="111"/>
      <c r="I37" s="112"/>
      <c r="J37" s="113">
        <f>SUM(J32:J36)</f>
        <v>12960</v>
      </c>
      <c r="K37" s="113" t="s">
        <v>156</v>
      </c>
      <c r="L37" s="90"/>
      <c r="M37" s="118"/>
    </row>
    <row r="38" spans="2:13" ht="15.6">
      <c r="B38" s="123" t="s">
        <v>202</v>
      </c>
      <c r="C38" s="124" t="s">
        <v>203</v>
      </c>
      <c r="D38" s="125" t="s">
        <v>204</v>
      </c>
      <c r="E38" s="126"/>
      <c r="F38" s="126"/>
      <c r="G38" s="126"/>
      <c r="H38" s="126"/>
      <c r="I38" s="127"/>
      <c r="J38" s="113">
        <f>J31/J25</f>
        <v>60</v>
      </c>
      <c r="K38" s="113" t="s">
        <v>31</v>
      </c>
      <c r="L38" s="128">
        <f>J38/10</f>
        <v>6</v>
      </c>
      <c r="M38" s="129" t="s">
        <v>32</v>
      </c>
    </row>
    <row r="39" spans="2:13" ht="15.6">
      <c r="B39" s="109"/>
      <c r="C39" s="130" t="s">
        <v>205</v>
      </c>
      <c r="D39" s="121" t="s">
        <v>206</v>
      </c>
      <c r="E39" s="111"/>
      <c r="F39" s="111"/>
      <c r="G39" s="111"/>
      <c r="H39" s="111"/>
      <c r="I39" s="112"/>
      <c r="J39" s="113">
        <f>J37/J25</f>
        <v>17.419354838709676</v>
      </c>
      <c r="K39" s="113" t="s">
        <v>31</v>
      </c>
      <c r="L39" s="128">
        <f>J39/10</f>
        <v>1.7419354838709675</v>
      </c>
      <c r="M39" s="129" t="s">
        <v>32</v>
      </c>
    </row>
    <row r="40" spans="2:13">
      <c r="B40" s="104" t="s">
        <v>207</v>
      </c>
      <c r="C40" s="116" t="s">
        <v>208</v>
      </c>
      <c r="D40" s="117" t="s">
        <v>209</v>
      </c>
      <c r="E40" s="117"/>
      <c r="F40" s="117"/>
      <c r="G40" s="131"/>
      <c r="H40" s="131"/>
      <c r="I40" s="132"/>
      <c r="J40" s="41">
        <f>J19*F19^3/12+(F19/2-J38)*J20</f>
        <v>432000</v>
      </c>
      <c r="K40" s="99" t="s">
        <v>210</v>
      </c>
      <c r="L40" s="133"/>
      <c r="M40" s="134"/>
    </row>
    <row r="41" spans="2:13">
      <c r="B41" s="108" t="s">
        <v>211</v>
      </c>
      <c r="C41" s="119" t="s">
        <v>212</v>
      </c>
      <c r="D41" s="99" t="s">
        <v>213</v>
      </c>
      <c r="E41" s="41"/>
      <c r="F41" s="41"/>
      <c r="G41" s="41"/>
      <c r="H41" s="41"/>
      <c r="I41" s="65"/>
      <c r="J41" s="41">
        <f>(G19-2*J19)*J19^3/12+(F19-J19/2-J38)^2*J21</f>
        <v>451836</v>
      </c>
      <c r="K41" s="99" t="s">
        <v>210</v>
      </c>
      <c r="L41" s="133"/>
      <c r="M41" s="134"/>
    </row>
    <row r="42" spans="2:13">
      <c r="B42" s="108" t="s">
        <v>214</v>
      </c>
      <c r="C42" s="119" t="s">
        <v>215</v>
      </c>
      <c r="D42" s="99" t="s">
        <v>216</v>
      </c>
      <c r="E42" s="41"/>
      <c r="F42" s="41"/>
      <c r="G42" s="41"/>
      <c r="H42" s="41"/>
      <c r="I42" s="65"/>
      <c r="J42" s="41">
        <f>J19*I19^3/12+(F19-I19/2-J38)^2*J22</f>
        <v>152000</v>
      </c>
      <c r="K42" s="99" t="s">
        <v>210</v>
      </c>
      <c r="L42" s="133"/>
      <c r="M42" s="134"/>
    </row>
    <row r="43" spans="2:13">
      <c r="B43" s="108" t="s">
        <v>217</v>
      </c>
      <c r="C43" s="119" t="s">
        <v>218</v>
      </c>
      <c r="D43" s="99" t="s">
        <v>219</v>
      </c>
      <c r="E43" s="41"/>
      <c r="F43" s="41"/>
      <c r="G43" s="41"/>
      <c r="H43" s="41"/>
      <c r="I43" s="65"/>
      <c r="J43" s="41">
        <f>(H19-2*J19)*J19^3/12+(J38-J19/2)^2*J23</f>
        <v>451836</v>
      </c>
      <c r="K43" s="99" t="s">
        <v>210</v>
      </c>
      <c r="L43" s="133"/>
      <c r="M43" s="134"/>
    </row>
    <row r="44" spans="2:13">
      <c r="B44" s="108" t="s">
        <v>220</v>
      </c>
      <c r="C44" s="119" t="s">
        <v>221</v>
      </c>
      <c r="D44" s="99" t="s">
        <v>222</v>
      </c>
      <c r="E44" s="41"/>
      <c r="F44" s="41"/>
      <c r="G44" s="41"/>
      <c r="H44" s="41"/>
      <c r="I44" s="65"/>
      <c r="J44" s="41">
        <f>J19*I19^3/12+(J38-I19/2)^2*J24</f>
        <v>152000</v>
      </c>
      <c r="K44" s="99" t="s">
        <v>210</v>
      </c>
      <c r="L44" s="133"/>
      <c r="M44" s="134"/>
    </row>
    <row r="45" spans="2:13" ht="15.6">
      <c r="B45" s="109" t="s">
        <v>223</v>
      </c>
      <c r="C45" s="120" t="s">
        <v>224</v>
      </c>
      <c r="D45" s="121" t="s">
        <v>225</v>
      </c>
      <c r="E45" s="111"/>
      <c r="F45" s="111"/>
      <c r="G45" s="111"/>
      <c r="H45" s="111"/>
      <c r="I45" s="112"/>
      <c r="J45" s="135">
        <f>SUM(J40:J44)</f>
        <v>1639672</v>
      </c>
      <c r="K45" s="113" t="s">
        <v>210</v>
      </c>
      <c r="L45" s="128">
        <f>J45/100/100</f>
        <v>163.96720000000002</v>
      </c>
      <c r="M45" s="129" t="s">
        <v>86</v>
      </c>
    </row>
    <row r="46" spans="2:13">
      <c r="B46" s="104" t="s">
        <v>207</v>
      </c>
      <c r="C46" s="116" t="s">
        <v>226</v>
      </c>
      <c r="D46" s="117" t="s">
        <v>227</v>
      </c>
      <c r="E46" s="117"/>
      <c r="F46" s="117"/>
      <c r="G46" s="131"/>
      <c r="H46" s="131"/>
      <c r="I46" s="132"/>
      <c r="J46" s="41">
        <f>F19*J19^3/12+(J39-J19/2)^2*J20</f>
        <v>91503.309053069708</v>
      </c>
      <c r="K46" s="99" t="s">
        <v>210</v>
      </c>
      <c r="L46" s="128"/>
      <c r="M46" s="129"/>
    </row>
    <row r="47" spans="2:13">
      <c r="B47" s="108" t="s">
        <v>211</v>
      </c>
      <c r="C47" s="119" t="s">
        <v>228</v>
      </c>
      <c r="D47" s="99" t="s">
        <v>229</v>
      </c>
      <c r="E47" s="41"/>
      <c r="F47" s="41"/>
      <c r="G47" s="41"/>
      <c r="H47" s="41"/>
      <c r="I47" s="65"/>
      <c r="J47" s="41">
        <f>J19*(G19-2*J19)^3/12+(G19/2-J39)^2*J21</f>
        <v>28881.53590010406</v>
      </c>
      <c r="K47" s="99" t="s">
        <v>210</v>
      </c>
      <c r="L47" s="128"/>
      <c r="M47" s="129"/>
    </row>
    <row r="48" spans="2:13">
      <c r="B48" s="108" t="s">
        <v>214</v>
      </c>
      <c r="C48" s="119" t="s">
        <v>230</v>
      </c>
      <c r="D48" s="99" t="s">
        <v>231</v>
      </c>
      <c r="E48" s="41"/>
      <c r="F48" s="41"/>
      <c r="G48" s="41"/>
      <c r="H48" s="41"/>
      <c r="I48" s="65"/>
      <c r="J48" s="41">
        <f>I19*J19^3/12+(G19-J19/2-J39)^2*J22</f>
        <v>58005.390218522378</v>
      </c>
      <c r="K48" s="99" t="s">
        <v>210</v>
      </c>
      <c r="L48" s="128"/>
      <c r="M48" s="129"/>
    </row>
    <row r="49" spans="2:13">
      <c r="B49" s="108" t="s">
        <v>217</v>
      </c>
      <c r="C49" s="119" t="s">
        <v>232</v>
      </c>
      <c r="D49" s="99" t="s">
        <v>233</v>
      </c>
      <c r="E49" s="41"/>
      <c r="F49" s="41"/>
      <c r="G49" s="41"/>
      <c r="H49" s="41"/>
      <c r="I49" s="65"/>
      <c r="J49" s="41">
        <f>J19*(H19-2*J19)^3/12+(H19/2-J39)^2*J23</f>
        <v>28881.53590010406</v>
      </c>
      <c r="K49" s="99" t="s">
        <v>210</v>
      </c>
      <c r="L49" s="128"/>
      <c r="M49" s="129"/>
    </row>
    <row r="50" spans="2:13">
      <c r="B50" s="108" t="s">
        <v>220</v>
      </c>
      <c r="C50" s="119" t="s">
        <v>234</v>
      </c>
      <c r="D50" s="99" t="s">
        <v>235</v>
      </c>
      <c r="E50" s="41"/>
      <c r="F50" s="41"/>
      <c r="G50" s="41"/>
      <c r="H50" s="41"/>
      <c r="I50" s="65"/>
      <c r="J50" s="41">
        <f>I19*J19^3/12+(H19-J19/2-J39)^2*J24</f>
        <v>58005.390218522378</v>
      </c>
      <c r="K50" s="99" t="s">
        <v>210</v>
      </c>
      <c r="L50" s="128"/>
      <c r="M50" s="129"/>
    </row>
    <row r="51" spans="2:13" ht="15.6">
      <c r="B51" s="109" t="s">
        <v>223</v>
      </c>
      <c r="C51" s="120" t="s">
        <v>236</v>
      </c>
      <c r="D51" s="121" t="s">
        <v>237</v>
      </c>
      <c r="E51" s="111"/>
      <c r="F51" s="111"/>
      <c r="G51" s="111"/>
      <c r="H51" s="111"/>
      <c r="I51" s="112"/>
      <c r="J51" s="113">
        <f>SUM(J46:J50)</f>
        <v>265277.16129032261</v>
      </c>
      <c r="K51" s="113" t="s">
        <v>210</v>
      </c>
      <c r="L51" s="128">
        <f t="shared" ref="L51" si="2">J51/100/100</f>
        <v>26.52771612903226</v>
      </c>
      <c r="M51" s="129" t="s">
        <v>86</v>
      </c>
    </row>
    <row r="52" spans="2:13" ht="15.75" customHeight="1">
      <c r="B52" s="123" t="s">
        <v>238</v>
      </c>
      <c r="C52" s="136" t="s">
        <v>239</v>
      </c>
      <c r="D52" s="137" t="s">
        <v>240</v>
      </c>
      <c r="E52" s="126"/>
      <c r="F52" s="240" t="s">
        <v>241</v>
      </c>
      <c r="G52" s="240"/>
      <c r="H52" s="240"/>
      <c r="I52" s="241"/>
      <c r="J52" s="113">
        <f>J45/(F19-J38)</f>
        <v>27327.866666666665</v>
      </c>
      <c r="K52" s="113" t="s">
        <v>156</v>
      </c>
      <c r="L52" s="128">
        <f>J52/1000</f>
        <v>27.327866666666665</v>
      </c>
      <c r="M52" s="129" t="s">
        <v>29</v>
      </c>
    </row>
    <row r="53" spans="2:13" ht="15.6">
      <c r="B53" s="109"/>
      <c r="C53" s="120" t="s">
        <v>242</v>
      </c>
      <c r="D53" s="138" t="s">
        <v>243</v>
      </c>
      <c r="E53" s="111"/>
      <c r="F53" s="242"/>
      <c r="G53" s="242"/>
      <c r="H53" s="242"/>
      <c r="I53" s="243"/>
      <c r="J53" s="113">
        <f>J51/(G19-J39)</f>
        <v>8142.1702970297047</v>
      </c>
      <c r="K53" s="113" t="s">
        <v>156</v>
      </c>
      <c r="L53" s="128">
        <f>J53/1000</f>
        <v>8.1421702970297041</v>
      </c>
      <c r="M53" s="129" t="s">
        <v>29</v>
      </c>
    </row>
    <row r="54" spans="2:13">
      <c r="B54" s="139" t="s">
        <v>244</v>
      </c>
      <c r="C54" s="140" t="s">
        <v>245</v>
      </c>
      <c r="D54" s="141" t="s">
        <v>246</v>
      </c>
      <c r="E54" s="142"/>
      <c r="F54" s="140" t="s">
        <v>247</v>
      </c>
      <c r="G54" s="141" t="s">
        <v>248</v>
      </c>
      <c r="H54" s="141"/>
      <c r="I54" s="142"/>
      <c r="J54" s="113">
        <f>SQRT(J45/J25)</f>
        <v>46.945289593885384</v>
      </c>
      <c r="K54" s="113" t="s">
        <v>31</v>
      </c>
      <c r="L54" s="143">
        <f>SQRT(J51/J25)</f>
        <v>18.882672594602433</v>
      </c>
      <c r="M54" s="144" t="s">
        <v>31</v>
      </c>
    </row>
    <row r="55" spans="2:13">
      <c r="B55" s="98"/>
      <c r="C55" s="90"/>
      <c r="D55" s="145"/>
      <c r="E55" s="41"/>
      <c r="F55" s="41"/>
      <c r="G55" s="41"/>
      <c r="H55" s="41"/>
      <c r="I55" s="41"/>
      <c r="J55" s="41"/>
      <c r="K55" s="41"/>
      <c r="L55" s="90"/>
      <c r="M55" s="118"/>
    </row>
    <row r="56" spans="2:13">
      <c r="B56" s="98"/>
      <c r="C56" s="90"/>
      <c r="D56" s="90"/>
      <c r="E56" s="90"/>
      <c r="F56" s="90"/>
      <c r="G56" s="90"/>
      <c r="H56" s="90"/>
      <c r="I56" s="90"/>
      <c r="J56" s="90"/>
      <c r="K56" s="146"/>
      <c r="L56" s="90"/>
      <c r="M56" s="118"/>
    </row>
    <row r="57" spans="2:13">
      <c r="B57" s="108" t="s">
        <v>249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118"/>
    </row>
    <row r="58" spans="2:13">
      <c r="B58" s="147" t="s">
        <v>250</v>
      </c>
      <c r="C58" s="90"/>
      <c r="D58" s="106" t="s">
        <v>251</v>
      </c>
      <c r="E58" s="90"/>
      <c r="F58" s="90"/>
      <c r="G58" s="90"/>
      <c r="H58" s="90"/>
      <c r="I58" s="90"/>
      <c r="J58" s="90"/>
      <c r="K58" s="90"/>
      <c r="L58" s="90"/>
      <c r="M58" s="118"/>
    </row>
    <row r="59" spans="2:13" ht="15" thickBot="1">
      <c r="B59" s="148" t="s">
        <v>252</v>
      </c>
      <c r="C59" s="149"/>
      <c r="D59" s="150" t="s">
        <v>253</v>
      </c>
      <c r="E59" s="149"/>
      <c r="F59" s="149"/>
      <c r="G59" s="149"/>
      <c r="H59" s="149"/>
      <c r="I59" s="149"/>
      <c r="J59" s="149"/>
      <c r="K59" s="149"/>
      <c r="L59" s="149"/>
      <c r="M59" s="151"/>
    </row>
    <row r="60" spans="2:13" ht="15" thickBot="1"/>
    <row r="61" spans="2:13">
      <c r="B61" s="93"/>
      <c r="C61" s="94"/>
      <c r="D61" s="94"/>
      <c r="E61" s="94"/>
      <c r="F61" s="94"/>
      <c r="G61" s="95" t="s">
        <v>127</v>
      </c>
      <c r="H61" s="95" t="s">
        <v>128</v>
      </c>
      <c r="I61" s="94"/>
      <c r="J61" s="96"/>
      <c r="K61" s="96"/>
      <c r="L61" s="94"/>
      <c r="M61" s="97"/>
    </row>
    <row r="62" spans="2:13">
      <c r="B62" s="98"/>
      <c r="C62" s="90"/>
      <c r="D62" s="90"/>
      <c r="E62" s="41"/>
      <c r="F62" s="41" t="s">
        <v>129</v>
      </c>
      <c r="G62" s="41" t="s">
        <v>130</v>
      </c>
      <c r="H62" s="99" t="s">
        <v>131</v>
      </c>
      <c r="I62" s="99" t="s">
        <v>132</v>
      </c>
      <c r="J62" s="99" t="s">
        <v>4</v>
      </c>
      <c r="K62" s="41"/>
      <c r="L62" s="100"/>
      <c r="M62" s="101"/>
    </row>
    <row r="63" spans="2:13" ht="15.6">
      <c r="B63" s="98"/>
      <c r="C63" s="90"/>
      <c r="D63" s="102" t="str">
        <f>CONCATENATE(E63, ,F63)</f>
        <v>C120</v>
      </c>
      <c r="E63" s="103" t="str">
        <f t="shared" ref="E63:J63" si="3">E6</f>
        <v>C</v>
      </c>
      <c r="F63" s="103">
        <f t="shared" si="3"/>
        <v>120</v>
      </c>
      <c r="G63" s="103">
        <f t="shared" si="3"/>
        <v>50</v>
      </c>
      <c r="H63" s="103">
        <f t="shared" si="3"/>
        <v>50</v>
      </c>
      <c r="I63" s="103">
        <f t="shared" si="3"/>
        <v>20</v>
      </c>
      <c r="J63" s="103">
        <f t="shared" si="3"/>
        <v>3</v>
      </c>
      <c r="K63" s="99" t="s">
        <v>31</v>
      </c>
      <c r="L63" s="100"/>
      <c r="M63" s="101"/>
    </row>
    <row r="64" spans="2:13">
      <c r="B64" s="104" t="s">
        <v>134</v>
      </c>
      <c r="C64" s="105" t="s">
        <v>135</v>
      </c>
      <c r="D64" s="106" t="s">
        <v>136</v>
      </c>
      <c r="E64" s="90"/>
      <c r="F64" s="90"/>
      <c r="G64" s="41"/>
      <c r="H64" s="41"/>
      <c r="I64" s="65"/>
      <c r="J64" s="41">
        <f>F63*J63</f>
        <v>360</v>
      </c>
      <c r="K64" s="99" t="s">
        <v>82</v>
      </c>
      <c r="L64" s="100">
        <f>J64/100</f>
        <v>3.6</v>
      </c>
      <c r="M64" s="107" t="s">
        <v>25</v>
      </c>
    </row>
    <row r="65" spans="2:13">
      <c r="B65" s="108" t="s">
        <v>137</v>
      </c>
      <c r="C65" s="72" t="s">
        <v>138</v>
      </c>
      <c r="D65" s="106" t="s">
        <v>139</v>
      </c>
      <c r="E65" s="90"/>
      <c r="F65" s="90"/>
      <c r="G65" s="41"/>
      <c r="H65" s="41"/>
      <c r="I65" s="65"/>
      <c r="J65" s="41">
        <f>(G63-2*J63)*J63</f>
        <v>132</v>
      </c>
      <c r="K65" s="99" t="s">
        <v>82</v>
      </c>
      <c r="L65" s="100">
        <f t="shared" ref="L65:L68" si="4">J65/100</f>
        <v>1.32</v>
      </c>
      <c r="M65" s="107" t="s">
        <v>25</v>
      </c>
    </row>
    <row r="66" spans="2:13">
      <c r="B66" s="108" t="s">
        <v>140</v>
      </c>
      <c r="C66" s="72" t="s">
        <v>141</v>
      </c>
      <c r="D66" s="106" t="s">
        <v>142</v>
      </c>
      <c r="E66" s="41"/>
      <c r="F66" s="41"/>
      <c r="G66" s="41"/>
      <c r="H66" s="41"/>
      <c r="I66" s="65"/>
      <c r="J66" s="41">
        <f>I63*J63</f>
        <v>60</v>
      </c>
      <c r="K66" s="99" t="s">
        <v>82</v>
      </c>
      <c r="L66" s="100">
        <f t="shared" si="4"/>
        <v>0.6</v>
      </c>
      <c r="M66" s="107" t="s">
        <v>25</v>
      </c>
    </row>
    <row r="67" spans="2:13">
      <c r="B67" s="108" t="s">
        <v>143</v>
      </c>
      <c r="C67" s="72" t="s">
        <v>144</v>
      </c>
      <c r="D67" s="106" t="s">
        <v>145</v>
      </c>
      <c r="E67" s="41"/>
      <c r="F67" s="41"/>
      <c r="G67" s="41"/>
      <c r="H67" s="41"/>
      <c r="I67" s="65"/>
      <c r="J67" s="41">
        <f>(H63-2*J63)*J63</f>
        <v>132</v>
      </c>
      <c r="K67" s="99" t="s">
        <v>82</v>
      </c>
      <c r="L67" s="100">
        <f t="shared" si="4"/>
        <v>1.32</v>
      </c>
      <c r="M67" s="107" t="s">
        <v>25</v>
      </c>
    </row>
    <row r="68" spans="2:13">
      <c r="B68" s="108" t="s">
        <v>146</v>
      </c>
      <c r="C68" s="72" t="s">
        <v>147</v>
      </c>
      <c r="D68" s="106" t="s">
        <v>142</v>
      </c>
      <c r="E68" s="41"/>
      <c r="F68" s="41"/>
      <c r="G68" s="41"/>
      <c r="H68" s="41"/>
      <c r="I68" s="65"/>
      <c r="J68" s="41">
        <f>I63*J63</f>
        <v>60</v>
      </c>
      <c r="K68" s="99" t="s">
        <v>82</v>
      </c>
      <c r="L68" s="100">
        <f t="shared" si="4"/>
        <v>0.6</v>
      </c>
      <c r="M68" s="107" t="s">
        <v>25</v>
      </c>
    </row>
    <row r="69" spans="2:13" ht="15.6">
      <c r="B69" s="109" t="s">
        <v>148</v>
      </c>
      <c r="C69" s="110" t="s">
        <v>149</v>
      </c>
      <c r="D69" s="111"/>
      <c r="E69" s="111"/>
      <c r="F69" s="111"/>
      <c r="G69" s="111"/>
      <c r="H69" s="111"/>
      <c r="I69" s="112"/>
      <c r="J69" s="113">
        <f>SUM(J64:J68)</f>
        <v>744</v>
      </c>
      <c r="K69" s="113" t="s">
        <v>82</v>
      </c>
      <c r="L69" s="114">
        <f>SUM(L64:L68)</f>
        <v>7.4399999999999995</v>
      </c>
      <c r="M69" s="115" t="s">
        <v>25</v>
      </c>
    </row>
    <row r="70" spans="2:13" ht="28.8">
      <c r="B70" s="104" t="s">
        <v>150</v>
      </c>
      <c r="C70" s="116" t="s">
        <v>151</v>
      </c>
      <c r="D70" s="117" t="s">
        <v>152</v>
      </c>
      <c r="E70" s="117" t="s">
        <v>153</v>
      </c>
      <c r="F70" s="117" t="s">
        <v>154</v>
      </c>
      <c r="G70" s="117"/>
      <c r="H70" s="117"/>
      <c r="I70" s="152" t="s">
        <v>155</v>
      </c>
      <c r="J70" s="41">
        <f>J64*F63/2</f>
        <v>21600</v>
      </c>
      <c r="K70" s="99" t="s">
        <v>156</v>
      </c>
      <c r="L70" s="90">
        <f>ABS(J70)</f>
        <v>21600</v>
      </c>
      <c r="M70" s="118"/>
    </row>
    <row r="71" spans="2:13">
      <c r="B71" s="108" t="s">
        <v>157</v>
      </c>
      <c r="C71" s="119" t="s">
        <v>158</v>
      </c>
      <c r="D71" s="99" t="s">
        <v>159</v>
      </c>
      <c r="E71" s="99" t="s">
        <v>160</v>
      </c>
      <c r="F71" s="99" t="s">
        <v>161</v>
      </c>
      <c r="G71" s="99" t="s">
        <v>254</v>
      </c>
      <c r="H71" s="99" t="s">
        <v>161</v>
      </c>
      <c r="I71" s="153"/>
      <c r="J71" s="41">
        <f>J65*(F63-J63/2)</f>
        <v>15642</v>
      </c>
      <c r="K71" s="99" t="s">
        <v>156</v>
      </c>
      <c r="L71" s="90">
        <f t="shared" ref="L71:L74" si="5">ABS(J71)</f>
        <v>15642</v>
      </c>
      <c r="M71" s="118"/>
    </row>
    <row r="72" spans="2:13">
      <c r="B72" s="108" t="s">
        <v>162</v>
      </c>
      <c r="C72" s="119" t="s">
        <v>163</v>
      </c>
      <c r="D72" s="99" t="s">
        <v>164</v>
      </c>
      <c r="E72" s="99" t="s">
        <v>165</v>
      </c>
      <c r="F72" s="99" t="s">
        <v>166</v>
      </c>
      <c r="G72" s="99" t="s">
        <v>255</v>
      </c>
      <c r="H72" s="99" t="s">
        <v>166</v>
      </c>
      <c r="I72" s="153"/>
      <c r="J72" s="41">
        <f>J66*(F63-I63/2)</f>
        <v>6600</v>
      </c>
      <c r="K72" s="99" t="s">
        <v>156</v>
      </c>
      <c r="L72" s="90">
        <f t="shared" si="5"/>
        <v>6600</v>
      </c>
      <c r="M72" s="118"/>
    </row>
    <row r="73" spans="2:13">
      <c r="B73" s="108" t="s">
        <v>167</v>
      </c>
      <c r="C73" s="119" t="s">
        <v>168</v>
      </c>
      <c r="D73" s="99" t="s">
        <v>169</v>
      </c>
      <c r="E73" s="99" t="s">
        <v>170</v>
      </c>
      <c r="F73" s="99" t="s">
        <v>171</v>
      </c>
      <c r="G73" s="99" t="s">
        <v>256</v>
      </c>
      <c r="H73" s="99" t="s">
        <v>171</v>
      </c>
      <c r="I73" s="153"/>
      <c r="J73" s="41">
        <f>J67*J63/2</f>
        <v>198</v>
      </c>
      <c r="K73" s="99" t="s">
        <v>156</v>
      </c>
      <c r="L73" s="90">
        <f t="shared" si="5"/>
        <v>198</v>
      </c>
      <c r="M73" s="118"/>
    </row>
    <row r="74" spans="2:13">
      <c r="B74" s="108" t="s">
        <v>172</v>
      </c>
      <c r="C74" s="119" t="s">
        <v>173</v>
      </c>
      <c r="D74" s="99" t="s">
        <v>174</v>
      </c>
      <c r="E74" s="99" t="s">
        <v>175</v>
      </c>
      <c r="F74" s="99" t="s">
        <v>176</v>
      </c>
      <c r="G74" s="99" t="s">
        <v>257</v>
      </c>
      <c r="H74" s="99" t="s">
        <v>176</v>
      </c>
      <c r="I74" s="154"/>
      <c r="J74" s="41">
        <f>J68*I63/2</f>
        <v>600</v>
      </c>
      <c r="K74" s="99" t="s">
        <v>156</v>
      </c>
      <c r="L74" s="90">
        <f t="shared" si="5"/>
        <v>600</v>
      </c>
      <c r="M74" s="118"/>
    </row>
    <row r="75" spans="2:13" ht="15.6">
      <c r="B75" s="109" t="s">
        <v>177</v>
      </c>
      <c r="C75" s="120" t="s">
        <v>178</v>
      </c>
      <c r="D75" s="121" t="s">
        <v>179</v>
      </c>
      <c r="E75" s="111"/>
      <c r="F75" s="111"/>
      <c r="G75" s="111"/>
      <c r="H75" s="111"/>
      <c r="I75" s="112"/>
      <c r="J75" s="113">
        <f>SUM(L70:L74)</f>
        <v>44640</v>
      </c>
      <c r="K75" s="113" t="s">
        <v>156</v>
      </c>
      <c r="L75" s="90"/>
      <c r="M75" s="118"/>
    </row>
    <row r="76" spans="2:13" ht="28.8">
      <c r="B76" s="104" t="s">
        <v>150</v>
      </c>
      <c r="C76" s="116" t="s">
        <v>180</v>
      </c>
      <c r="D76" s="117" t="s">
        <v>181</v>
      </c>
      <c r="E76" s="117" t="s">
        <v>182</v>
      </c>
      <c r="F76" s="117" t="s">
        <v>171</v>
      </c>
      <c r="G76" s="117" t="s">
        <v>258</v>
      </c>
      <c r="H76" s="117" t="s">
        <v>171</v>
      </c>
      <c r="I76" s="152" t="s">
        <v>183</v>
      </c>
      <c r="J76" s="41">
        <f>J64*J63/2</f>
        <v>540</v>
      </c>
      <c r="K76" s="99" t="s">
        <v>156</v>
      </c>
      <c r="L76" s="90">
        <f>ABS(J76)</f>
        <v>540</v>
      </c>
      <c r="M76" s="118"/>
    </row>
    <row r="77" spans="2:13">
      <c r="B77" s="108" t="s">
        <v>157</v>
      </c>
      <c r="C77" s="119" t="s">
        <v>184</v>
      </c>
      <c r="D77" s="99" t="s">
        <v>185</v>
      </c>
      <c r="E77" s="99" t="s">
        <v>186</v>
      </c>
      <c r="F77" s="99" t="s">
        <v>259</v>
      </c>
      <c r="G77" s="99" t="s">
        <v>260</v>
      </c>
      <c r="H77" s="122" t="s">
        <v>261</v>
      </c>
      <c r="I77" s="153"/>
      <c r="J77" s="41">
        <f>-J65*(G63/2-J63)</f>
        <v>-2904</v>
      </c>
      <c r="K77" s="99" t="s">
        <v>156</v>
      </c>
      <c r="L77" s="90">
        <f t="shared" ref="L77:L80" si="6">ABS(J77)</f>
        <v>2904</v>
      </c>
      <c r="M77" s="118"/>
    </row>
    <row r="78" spans="2:13">
      <c r="B78" s="108" t="s">
        <v>162</v>
      </c>
      <c r="C78" s="119" t="s">
        <v>188</v>
      </c>
      <c r="D78" s="99" t="s">
        <v>189</v>
      </c>
      <c r="E78" s="99" t="s">
        <v>190</v>
      </c>
      <c r="F78" s="99" t="s">
        <v>262</v>
      </c>
      <c r="G78" s="99" t="s">
        <v>263</v>
      </c>
      <c r="H78" s="122" t="s">
        <v>264</v>
      </c>
      <c r="I78" s="153"/>
      <c r="J78" s="41">
        <f>-J66*(G63-J63/2-J63)</f>
        <v>-2730</v>
      </c>
      <c r="K78" s="99" t="s">
        <v>156</v>
      </c>
      <c r="L78" s="90">
        <f t="shared" si="6"/>
        <v>2730</v>
      </c>
      <c r="M78" s="118"/>
    </row>
    <row r="79" spans="2:13">
      <c r="B79" s="108" t="s">
        <v>167</v>
      </c>
      <c r="C79" s="119" t="s">
        <v>192</v>
      </c>
      <c r="D79" s="99" t="s">
        <v>193</v>
      </c>
      <c r="E79" s="99" t="s">
        <v>194</v>
      </c>
      <c r="F79" s="99" t="s">
        <v>195</v>
      </c>
      <c r="G79" s="99" t="s">
        <v>265</v>
      </c>
      <c r="H79" s="99" t="s">
        <v>195</v>
      </c>
      <c r="I79" s="153"/>
      <c r="J79" s="41">
        <f>J67*H63/2</f>
        <v>3300</v>
      </c>
      <c r="K79" s="99" t="s">
        <v>156</v>
      </c>
      <c r="L79" s="90">
        <f t="shared" si="6"/>
        <v>3300</v>
      </c>
      <c r="M79" s="118"/>
    </row>
    <row r="80" spans="2:13">
      <c r="B80" s="108" t="s">
        <v>172</v>
      </c>
      <c r="C80" s="119" t="s">
        <v>196</v>
      </c>
      <c r="D80" s="99" t="s">
        <v>197</v>
      </c>
      <c r="E80" s="99" t="s">
        <v>198</v>
      </c>
      <c r="F80" s="99" t="s">
        <v>199</v>
      </c>
      <c r="G80" s="99" t="s">
        <v>266</v>
      </c>
      <c r="H80" s="99" t="s">
        <v>199</v>
      </c>
      <c r="I80" s="154"/>
      <c r="J80" s="41">
        <f>J68*(H63-J63/2)</f>
        <v>2910</v>
      </c>
      <c r="K80" s="99" t="s">
        <v>156</v>
      </c>
      <c r="L80" s="90">
        <f t="shared" si="6"/>
        <v>2910</v>
      </c>
      <c r="M80" s="118"/>
    </row>
    <row r="81" spans="2:13" ht="15.6">
      <c r="B81" s="109" t="s">
        <v>177</v>
      </c>
      <c r="C81" s="120" t="s">
        <v>200</v>
      </c>
      <c r="D81" s="121" t="s">
        <v>201</v>
      </c>
      <c r="E81" s="111"/>
      <c r="F81" s="111"/>
      <c r="G81" s="111"/>
      <c r="H81" s="111"/>
      <c r="I81" s="112"/>
      <c r="J81" s="113">
        <f>SUM(L76:L80)</f>
        <v>12384</v>
      </c>
      <c r="K81" s="113" t="s">
        <v>156</v>
      </c>
      <c r="L81" s="90"/>
      <c r="M81" s="118"/>
    </row>
    <row r="82" spans="2:13" ht="15.6">
      <c r="B82" s="123" t="s">
        <v>202</v>
      </c>
      <c r="C82" s="124" t="s">
        <v>203</v>
      </c>
      <c r="D82" s="125" t="s">
        <v>204</v>
      </c>
      <c r="E82" s="126"/>
      <c r="F82" s="126"/>
      <c r="G82" s="126"/>
      <c r="H82" s="126"/>
      <c r="I82" s="127"/>
      <c r="J82" s="113">
        <f>J75/J69</f>
        <v>60</v>
      </c>
      <c r="K82" s="113" t="s">
        <v>31</v>
      </c>
      <c r="L82" s="128">
        <f>J82/10</f>
        <v>6</v>
      </c>
      <c r="M82" s="129" t="s">
        <v>32</v>
      </c>
    </row>
    <row r="83" spans="2:13" ht="15.6">
      <c r="B83" s="109"/>
      <c r="C83" s="130" t="s">
        <v>205</v>
      </c>
      <c r="D83" s="121" t="s">
        <v>206</v>
      </c>
      <c r="E83" s="111"/>
      <c r="F83" s="111"/>
      <c r="G83" s="111"/>
      <c r="H83" s="111"/>
      <c r="I83" s="112"/>
      <c r="J83" s="113">
        <f>J81/J69</f>
        <v>16.64516129032258</v>
      </c>
      <c r="K83" s="113" t="s">
        <v>31</v>
      </c>
      <c r="L83" s="128">
        <f>J83/10</f>
        <v>1.6645161290322581</v>
      </c>
      <c r="M83" s="129" t="s">
        <v>32</v>
      </c>
    </row>
    <row r="84" spans="2:13">
      <c r="B84" s="104" t="s">
        <v>207</v>
      </c>
      <c r="C84" s="116" t="s">
        <v>208</v>
      </c>
      <c r="D84" s="117" t="s">
        <v>209</v>
      </c>
      <c r="E84" s="117"/>
      <c r="F84" s="117"/>
      <c r="G84" s="131"/>
      <c r="H84" s="131"/>
      <c r="I84" s="132"/>
      <c r="J84" s="41">
        <f>J63*F63^3/12+(F63/2-J82)*J64</f>
        <v>432000</v>
      </c>
      <c r="K84" s="99" t="s">
        <v>210</v>
      </c>
      <c r="L84" s="133"/>
      <c r="M84" s="134"/>
    </row>
    <row r="85" spans="2:13">
      <c r="B85" s="108" t="s">
        <v>211</v>
      </c>
      <c r="C85" s="119" t="s">
        <v>212</v>
      </c>
      <c r="D85" s="99" t="s">
        <v>213</v>
      </c>
      <c r="E85" s="41"/>
      <c r="F85" s="41"/>
      <c r="G85" s="41"/>
      <c r="H85" s="41"/>
      <c r="I85" s="65"/>
      <c r="J85" s="41">
        <f>(G63-2*J63)*J63^3/12+(F63-J63/2-J82)^2*J65</f>
        <v>451836</v>
      </c>
      <c r="K85" s="99" t="s">
        <v>210</v>
      </c>
      <c r="L85" s="133"/>
      <c r="M85" s="134"/>
    </row>
    <row r="86" spans="2:13">
      <c r="B86" s="108" t="s">
        <v>214</v>
      </c>
      <c r="C86" s="119" t="s">
        <v>215</v>
      </c>
      <c r="D86" s="99" t="s">
        <v>216</v>
      </c>
      <c r="E86" s="41"/>
      <c r="F86" s="41"/>
      <c r="G86" s="41"/>
      <c r="H86" s="41"/>
      <c r="I86" s="65"/>
      <c r="J86" s="41">
        <f>J63*I63^3/12+(F63-I63/2-J82)^2*J66</f>
        <v>152000</v>
      </c>
      <c r="K86" s="99" t="s">
        <v>210</v>
      </c>
      <c r="L86" s="133"/>
      <c r="M86" s="134"/>
    </row>
    <row r="87" spans="2:13">
      <c r="B87" s="108" t="s">
        <v>217</v>
      </c>
      <c r="C87" s="119" t="s">
        <v>218</v>
      </c>
      <c r="D87" s="99" t="s">
        <v>219</v>
      </c>
      <c r="E87" s="41"/>
      <c r="F87" s="41"/>
      <c r="G87" s="41"/>
      <c r="H87" s="41"/>
      <c r="I87" s="65"/>
      <c r="J87" s="41">
        <f>(H63-2*J63)*J63^3/12+(J82-J63/2)^2*J67</f>
        <v>451836</v>
      </c>
      <c r="K87" s="99" t="s">
        <v>210</v>
      </c>
      <c r="L87" s="133"/>
      <c r="M87" s="134"/>
    </row>
    <row r="88" spans="2:13">
      <c r="B88" s="108" t="s">
        <v>220</v>
      </c>
      <c r="C88" s="119" t="s">
        <v>221</v>
      </c>
      <c r="D88" s="99" t="s">
        <v>222</v>
      </c>
      <c r="E88" s="41"/>
      <c r="F88" s="41"/>
      <c r="G88" s="41"/>
      <c r="H88" s="41"/>
      <c r="I88" s="65"/>
      <c r="J88" s="41">
        <f>J63*I63^3/12+(J82-I63/2)^2*J68</f>
        <v>152000</v>
      </c>
      <c r="K88" s="99" t="s">
        <v>210</v>
      </c>
      <c r="L88" s="133"/>
      <c r="M88" s="134"/>
    </row>
    <row r="89" spans="2:13" ht="15.6">
      <c r="B89" s="109" t="s">
        <v>223</v>
      </c>
      <c r="C89" s="120" t="s">
        <v>224</v>
      </c>
      <c r="D89" s="121" t="s">
        <v>225</v>
      </c>
      <c r="E89" s="111"/>
      <c r="F89" s="111"/>
      <c r="G89" s="111"/>
      <c r="H89" s="111"/>
      <c r="I89" s="112"/>
      <c r="J89" s="135">
        <f>SUM(J84:J88)</f>
        <v>1639672</v>
      </c>
      <c r="K89" s="113" t="s">
        <v>210</v>
      </c>
      <c r="L89" s="128">
        <f>J89/100/100</f>
        <v>163.96720000000002</v>
      </c>
      <c r="M89" s="129" t="s">
        <v>86</v>
      </c>
    </row>
    <row r="90" spans="2:13">
      <c r="B90" s="104" t="s">
        <v>207</v>
      </c>
      <c r="C90" s="116" t="s">
        <v>226</v>
      </c>
      <c r="D90" s="117" t="s">
        <v>227</v>
      </c>
      <c r="E90" s="117"/>
      <c r="F90" s="117"/>
      <c r="G90" s="131"/>
      <c r="H90" s="131"/>
      <c r="I90" s="132"/>
      <c r="J90" s="41">
        <f>F63*J63^3/12+(J83-J63/2)^2*J64</f>
        <v>82845.327783558794</v>
      </c>
      <c r="K90" s="99" t="s">
        <v>210</v>
      </c>
      <c r="L90" s="128"/>
      <c r="M90" s="129"/>
    </row>
    <row r="91" spans="2:13">
      <c r="B91" s="108" t="s">
        <v>211</v>
      </c>
      <c r="C91" s="119" t="s">
        <v>228</v>
      </c>
      <c r="D91" s="99" t="s">
        <v>267</v>
      </c>
      <c r="E91" s="41"/>
      <c r="F91" s="41"/>
      <c r="G91" s="41"/>
      <c r="H91" s="41"/>
      <c r="I91" s="65"/>
      <c r="J91" s="41">
        <f>J63*(G63-2*J63)^3/12+(G63/2-J63+J83)^2*J65</f>
        <v>218431.20083246613</v>
      </c>
      <c r="K91" s="99" t="s">
        <v>210</v>
      </c>
      <c r="L91" s="128"/>
      <c r="M91" s="129"/>
    </row>
    <row r="92" spans="2:13">
      <c r="B92" s="108" t="s">
        <v>214</v>
      </c>
      <c r="C92" s="119" t="s">
        <v>230</v>
      </c>
      <c r="D92" s="99" t="s">
        <v>268</v>
      </c>
      <c r="E92" s="41"/>
      <c r="F92" s="41"/>
      <c r="G92" s="41"/>
      <c r="H92" s="41"/>
      <c r="I92" s="65"/>
      <c r="J92" s="41">
        <f>I63*J63^3/12+(G63-J63/2-J63+J83)^2*J66</f>
        <v>231766.26430801247</v>
      </c>
      <c r="K92" s="99" t="s">
        <v>210</v>
      </c>
      <c r="L92" s="128"/>
      <c r="M92" s="129"/>
    </row>
    <row r="93" spans="2:13">
      <c r="B93" s="108" t="s">
        <v>217</v>
      </c>
      <c r="C93" s="119" t="s">
        <v>232</v>
      </c>
      <c r="D93" s="99" t="s">
        <v>233</v>
      </c>
      <c r="E93" s="41"/>
      <c r="F93" s="41"/>
      <c r="G93" s="41"/>
      <c r="H93" s="41"/>
      <c r="I93" s="65"/>
      <c r="J93" s="41">
        <f>J63*(H63-2*J63)^3/12+(H63/2-J83)^2*J67</f>
        <v>30510.039542143604</v>
      </c>
      <c r="K93" s="99" t="s">
        <v>210</v>
      </c>
      <c r="L93" s="128"/>
      <c r="M93" s="129"/>
    </row>
    <row r="94" spans="2:13">
      <c r="B94" s="108" t="s">
        <v>220</v>
      </c>
      <c r="C94" s="119" t="s">
        <v>234</v>
      </c>
      <c r="D94" s="99" t="s">
        <v>235</v>
      </c>
      <c r="E94" s="41"/>
      <c r="F94" s="41"/>
      <c r="G94" s="41"/>
      <c r="H94" s="41"/>
      <c r="I94" s="65"/>
      <c r="J94" s="41">
        <f>I63*J63^3/12+(H63-J63/2-J83)^2*J68</f>
        <v>60928.844953173779</v>
      </c>
      <c r="K94" s="99" t="s">
        <v>210</v>
      </c>
      <c r="L94" s="128"/>
      <c r="M94" s="129"/>
    </row>
    <row r="95" spans="2:13" ht="15.6">
      <c r="B95" s="109" t="s">
        <v>223</v>
      </c>
      <c r="C95" s="120" t="s">
        <v>236</v>
      </c>
      <c r="D95" s="121" t="s">
        <v>237</v>
      </c>
      <c r="E95" s="111"/>
      <c r="F95" s="111"/>
      <c r="G95" s="111"/>
      <c r="H95" s="111"/>
      <c r="I95" s="112"/>
      <c r="J95" s="113">
        <f>SUM(J90:J94)</f>
        <v>624481.67741935479</v>
      </c>
      <c r="K95" s="113" t="s">
        <v>210</v>
      </c>
      <c r="L95" s="128">
        <f t="shared" ref="L95" si="7">J95/100/100</f>
        <v>62.448167741935478</v>
      </c>
      <c r="M95" s="129" t="s">
        <v>86</v>
      </c>
    </row>
    <row r="96" spans="2:13" ht="15.75" customHeight="1">
      <c r="B96" s="123" t="s">
        <v>238</v>
      </c>
      <c r="C96" s="136" t="s">
        <v>239</v>
      </c>
      <c r="D96" s="137" t="s">
        <v>240</v>
      </c>
      <c r="E96" s="126"/>
      <c r="F96" s="240" t="s">
        <v>241</v>
      </c>
      <c r="G96" s="240"/>
      <c r="H96" s="240"/>
      <c r="I96" s="241"/>
      <c r="J96" s="113">
        <f>J89/(F63-J82)</f>
        <v>27327.866666666665</v>
      </c>
      <c r="K96" s="113" t="s">
        <v>156</v>
      </c>
      <c r="L96" s="128">
        <f>J96/1000</f>
        <v>27.327866666666665</v>
      </c>
      <c r="M96" s="129" t="s">
        <v>29</v>
      </c>
    </row>
    <row r="97" spans="2:13" ht="15.6">
      <c r="B97" s="109"/>
      <c r="C97" s="120" t="s">
        <v>242</v>
      </c>
      <c r="D97" s="138" t="s">
        <v>243</v>
      </c>
      <c r="E97" s="111"/>
      <c r="F97" s="242"/>
      <c r="G97" s="242"/>
      <c r="H97" s="242"/>
      <c r="I97" s="243"/>
      <c r="J97" s="113">
        <f>J95/(G63+J83)</f>
        <v>9370.2478218780252</v>
      </c>
      <c r="K97" s="113" t="s">
        <v>156</v>
      </c>
      <c r="L97" s="128">
        <f>J97/1000</f>
        <v>9.3702478218780261</v>
      </c>
      <c r="M97" s="129" t="s">
        <v>29</v>
      </c>
    </row>
    <row r="98" spans="2:13">
      <c r="B98" s="139" t="s">
        <v>244</v>
      </c>
      <c r="C98" s="140" t="s">
        <v>245</v>
      </c>
      <c r="D98" s="141" t="s">
        <v>246</v>
      </c>
      <c r="E98" s="142"/>
      <c r="F98" s="140" t="s">
        <v>247</v>
      </c>
      <c r="G98" s="141" t="s">
        <v>248</v>
      </c>
      <c r="H98" s="141"/>
      <c r="I98" s="142"/>
      <c r="J98" s="113">
        <f>SQRT(J89/J69)</f>
        <v>46.945289593885384</v>
      </c>
      <c r="K98" s="113" t="s">
        <v>31</v>
      </c>
      <c r="L98" s="143">
        <f>SQRT(J95/J69)</f>
        <v>28.971660175170914</v>
      </c>
      <c r="M98" s="144" t="s">
        <v>31</v>
      </c>
    </row>
    <row r="99" spans="2:13">
      <c r="B99" s="98"/>
      <c r="C99" s="90"/>
      <c r="D99" s="145"/>
      <c r="E99" s="41"/>
      <c r="F99" s="41"/>
      <c r="G99" s="41"/>
      <c r="H99" s="41"/>
      <c r="I99" s="41"/>
      <c r="J99" s="41"/>
      <c r="K99" s="41"/>
      <c r="L99" s="90"/>
      <c r="M99" s="118"/>
    </row>
    <row r="100" spans="2:13">
      <c r="B100" s="98"/>
      <c r="C100" s="90"/>
      <c r="D100" s="90"/>
      <c r="E100" s="90"/>
      <c r="F100" s="90"/>
      <c r="G100" s="90"/>
      <c r="H100" s="90"/>
      <c r="I100" s="90"/>
      <c r="J100" s="90"/>
      <c r="K100" s="146"/>
      <c r="L100" s="90"/>
      <c r="M100" s="118"/>
    </row>
    <row r="101" spans="2:13">
      <c r="B101" s="108" t="s">
        <v>249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118"/>
    </row>
    <row r="102" spans="2:13">
      <c r="B102" s="147" t="s">
        <v>250</v>
      </c>
      <c r="C102" s="90"/>
      <c r="D102" s="106" t="s">
        <v>251</v>
      </c>
      <c r="E102" s="90"/>
      <c r="F102" s="90"/>
      <c r="G102" s="90"/>
      <c r="H102" s="90"/>
      <c r="I102" s="90"/>
      <c r="J102" s="90"/>
      <c r="K102" s="90"/>
      <c r="L102" s="90"/>
      <c r="M102" s="118"/>
    </row>
    <row r="103" spans="2:13" ht="15" thickBot="1">
      <c r="B103" s="148" t="s">
        <v>252</v>
      </c>
      <c r="C103" s="149"/>
      <c r="D103" s="150" t="s">
        <v>253</v>
      </c>
      <c r="E103" s="149"/>
      <c r="F103" s="149"/>
      <c r="G103" s="149"/>
      <c r="H103" s="149"/>
      <c r="I103" s="149"/>
      <c r="J103" s="149"/>
      <c r="K103" s="149"/>
      <c r="L103" s="149"/>
      <c r="M103" s="151"/>
    </row>
    <row r="124" spans="5:5">
      <c r="E124" s="155"/>
    </row>
    <row r="130" spans="5:13">
      <c r="J130" s="156"/>
    </row>
    <row r="134" spans="5:13">
      <c r="E134" s="157"/>
      <c r="H134" s="158"/>
      <c r="M134" s="158"/>
    </row>
  </sheetData>
  <mergeCells count="4">
    <mergeCell ref="I26:I30"/>
    <mergeCell ref="I32:I36"/>
    <mergeCell ref="F52:I53"/>
    <mergeCell ref="F96:I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</vt:lpstr>
      <vt:lpstr>Sheet1</vt:lpstr>
      <vt:lpstr>'C'!Print_Area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Tung le ngoc</cp:lastModifiedBy>
  <cp:lastPrinted>2024-10-29T11:36:00Z</cp:lastPrinted>
  <dcterms:created xsi:type="dcterms:W3CDTF">2024-07-17T07:27:48Z</dcterms:created>
  <dcterms:modified xsi:type="dcterms:W3CDTF">2024-11-23T04:40:02Z</dcterms:modified>
</cp:coreProperties>
</file>